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herrie\Documents\Measure B\"/>
    </mc:Choice>
  </mc:AlternateContent>
  <bookViews>
    <workbookView xWindow="0" yWindow="0" windowWidth="15525" windowHeight="7035" activeTab="3"/>
  </bookViews>
  <sheets>
    <sheet name="the big picture" sheetId="1" r:id="rId1"/>
    <sheet name="Sheet1" sheetId="2" r:id="rId2"/>
    <sheet name="the big picture revised" sheetId="3" r:id="rId3"/>
    <sheet name="12-12-21" sheetId="4" r:id="rId4"/>
  </sheets>
  <definedNames>
    <definedName name="_xlnm.Print_Titles" localSheetId="0">'the big picture'!$3:$3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4" i="4" l="1"/>
  <c r="H85" i="4"/>
  <c r="H86" i="4"/>
  <c r="H87" i="4"/>
  <c r="H88" i="4"/>
  <c r="H89" i="4"/>
  <c r="H90" i="4"/>
  <c r="H91" i="4"/>
  <c r="H95" i="4"/>
  <c r="H96" i="4"/>
  <c r="H97" i="4"/>
  <c r="H98" i="4"/>
  <c r="H99" i="4"/>
  <c r="H100" i="4"/>
  <c r="H101" i="4"/>
  <c r="H102" i="4"/>
  <c r="H103" i="4"/>
  <c r="H104" i="4"/>
  <c r="H105" i="4"/>
  <c r="H106" i="4"/>
  <c r="H107" i="4"/>
  <c r="H83" i="4"/>
  <c r="E182" i="4" l="1"/>
  <c r="F54" i="4"/>
  <c r="F7" i="4"/>
  <c r="H32" i="4"/>
  <c r="E23" i="4"/>
  <c r="F20" i="4"/>
  <c r="H40" i="4"/>
  <c r="H41" i="4"/>
  <c r="H42" i="4"/>
  <c r="H44" i="4"/>
  <c r="H45" i="4"/>
  <c r="H46" i="4"/>
  <c r="H47" i="4"/>
  <c r="H49" i="4"/>
  <c r="H52" i="4"/>
  <c r="H53" i="4"/>
  <c r="H54" i="4"/>
  <c r="H55" i="4"/>
  <c r="H56" i="4"/>
  <c r="E48" i="4"/>
  <c r="H48" i="4" s="1"/>
  <c r="G20" i="4"/>
  <c r="G43" i="4"/>
  <c r="H43" i="4" s="1"/>
  <c r="G39" i="4"/>
  <c r="H39" i="4" s="1"/>
  <c r="G37" i="4"/>
  <c r="H37" i="4" s="1"/>
  <c r="G36" i="4"/>
  <c r="H36" i="4" s="1"/>
  <c r="J268" i="4"/>
  <c r="H17" i="4"/>
  <c r="H5" i="4"/>
  <c r="H6" i="4"/>
  <c r="H11" i="4"/>
  <c r="H12" i="4"/>
  <c r="H13" i="4"/>
  <c r="H14" i="4"/>
  <c r="H16" i="4"/>
  <c r="H18" i="4"/>
  <c r="H21" i="4"/>
  <c r="H4" i="4"/>
  <c r="G57" i="4" l="1"/>
  <c r="H20" i="4"/>
  <c r="D24" i="4"/>
  <c r="C28" i="4" s="1"/>
  <c r="H23" i="4" s="1"/>
  <c r="E208" i="4"/>
  <c r="E209" i="4" s="1"/>
  <c r="D209" i="4" l="1"/>
  <c r="G371" i="4" l="1"/>
  <c r="H371" i="4" s="1"/>
  <c r="A318" i="4"/>
  <c r="E329" i="4"/>
  <c r="C329" i="4"/>
  <c r="B322" i="4"/>
  <c r="B320" i="4"/>
  <c r="B248" i="4"/>
  <c r="A251" i="4"/>
  <c r="A253" i="4" s="1"/>
  <c r="B255" i="4"/>
  <c r="L260" i="4"/>
  <c r="P259" i="4"/>
  <c r="E253" i="4"/>
  <c r="B256" i="4"/>
  <c r="L275" i="4" s="1"/>
  <c r="L279" i="4" s="1"/>
  <c r="K263" i="4"/>
  <c r="K255" i="4"/>
  <c r="N273" i="4"/>
  <c r="G370" i="4"/>
  <c r="B281" i="4" l="1"/>
  <c r="C332" i="4" s="1"/>
  <c r="F247" i="4"/>
  <c r="F248" i="4" s="1"/>
  <c r="E129" i="4"/>
  <c r="E130" i="4" s="1"/>
  <c r="K130" i="4" s="1"/>
  <c r="E131" i="4"/>
  <c r="E132" i="4" s="1"/>
  <c r="K132" i="4" s="1"/>
  <c r="F88" i="4"/>
  <c r="F123" i="4"/>
  <c r="E136" i="4" l="1"/>
  <c r="F134" i="4"/>
  <c r="F136" i="4" s="1"/>
  <c r="D125" i="4"/>
  <c r="F372" i="4"/>
  <c r="E372" i="4"/>
  <c r="G372" i="4"/>
  <c r="C370" i="4"/>
  <c r="C372" i="4" s="1"/>
  <c r="B370" i="4"/>
  <c r="B366" i="4"/>
  <c r="I361" i="4"/>
  <c r="I360" i="4"/>
  <c r="I359" i="4"/>
  <c r="B355" i="4"/>
  <c r="D344" i="4"/>
  <c r="C344" i="4"/>
  <c r="B344" i="4"/>
  <c r="D370" i="4" s="1"/>
  <c r="D372" i="4" s="1"/>
  <c r="D231" i="4"/>
  <c r="E229" i="4"/>
  <c r="E231" i="4" s="1"/>
  <c r="E215" i="4"/>
  <c r="D215" i="4"/>
  <c r="E203" i="4"/>
  <c r="D203" i="4"/>
  <c r="E197" i="4"/>
  <c r="D197" i="4"/>
  <c r="E192" i="4"/>
  <c r="E183" i="4"/>
  <c r="K183" i="4" s="1"/>
  <c r="J239" i="4"/>
  <c r="E180" i="4"/>
  <c r="E179" i="4"/>
  <c r="E178" i="4"/>
  <c r="E177" i="4"/>
  <c r="F174" i="4"/>
  <c r="D162" i="4"/>
  <c r="F158" i="4"/>
  <c r="F155" i="4"/>
  <c r="K107" i="4"/>
  <c r="E96" i="4"/>
  <c r="F108" i="4" s="1"/>
  <c r="D91" i="4"/>
  <c r="C92" i="4" s="1"/>
  <c r="C111" i="4" s="1"/>
  <c r="K87" i="4"/>
  <c r="F78" i="4"/>
  <c r="E50" i="4"/>
  <c r="H50" i="4" s="1"/>
  <c r="E38" i="4"/>
  <c r="F51" i="4" s="1"/>
  <c r="I31" i="4"/>
  <c r="E26" i="4"/>
  <c r="F33" i="4" s="1"/>
  <c r="F57" i="4" s="1"/>
  <c r="D26" i="4"/>
  <c r="H370" i="4" l="1"/>
  <c r="C33" i="4"/>
  <c r="C57" i="4" s="1"/>
  <c r="H26" i="4"/>
  <c r="H38" i="4"/>
  <c r="E57" i="4"/>
  <c r="D185" i="4"/>
  <c r="C168" i="4"/>
  <c r="C185" i="4" s="1"/>
  <c r="I24" i="4"/>
  <c r="D126" i="4"/>
  <c r="K126" i="4" s="1"/>
  <c r="B372" i="4"/>
  <c r="H372" i="4" s="1"/>
  <c r="L58" i="4"/>
  <c r="D111" i="4"/>
  <c r="K162" i="4"/>
  <c r="B348" i="4"/>
  <c r="F111" i="4"/>
  <c r="E111" i="4"/>
  <c r="K91" i="4"/>
  <c r="L111" i="4" s="1"/>
  <c r="E181" i="4"/>
  <c r="K181" i="4" s="1"/>
  <c r="D57" i="4"/>
  <c r="I358" i="4"/>
  <c r="I364" i="4" s="1"/>
  <c r="F41" i="1"/>
  <c r="H57" i="4" l="1"/>
  <c r="G59" i="4" s="1"/>
  <c r="D58" i="4"/>
  <c r="K239" i="4"/>
  <c r="C127" i="4"/>
  <c r="C136" i="4" s="1"/>
  <c r="D136" i="4"/>
  <c r="D137" i="4" s="1"/>
  <c r="F184" i="4"/>
  <c r="F185" i="4" s="1"/>
  <c r="D112" i="4"/>
  <c r="E185" i="4"/>
  <c r="I247" i="3"/>
  <c r="D186" i="4" l="1"/>
  <c r="E239" i="4"/>
  <c r="D239" i="4"/>
  <c r="F192" i="3"/>
  <c r="C192" i="3"/>
  <c r="B192" i="3"/>
  <c r="F191" i="3"/>
  <c r="K47" i="3"/>
  <c r="J63" i="3"/>
  <c r="J83" i="3"/>
  <c r="F64" i="3"/>
  <c r="D67" i="3"/>
  <c r="J67" i="3" s="1"/>
  <c r="F7" i="3"/>
  <c r="E19" i="3"/>
  <c r="D19" i="3"/>
  <c r="E41" i="3"/>
  <c r="D17" i="3"/>
  <c r="D120" i="3"/>
  <c r="J120" i="3" s="1"/>
  <c r="E138" i="3"/>
  <c r="E139" i="3" s="1"/>
  <c r="J139" i="3" s="1"/>
  <c r="F130" i="3"/>
  <c r="E135" i="3"/>
  <c r="E136" i="3"/>
  <c r="G136" i="3"/>
  <c r="G140" i="3" s="1"/>
  <c r="I141" i="3" s="1"/>
  <c r="I174" i="3" s="1"/>
  <c r="E134" i="3"/>
  <c r="E133" i="3"/>
  <c r="E241" i="4" l="1"/>
  <c r="E334" i="4" s="1"/>
  <c r="F193" i="3"/>
  <c r="D192" i="3"/>
  <c r="C26" i="3"/>
  <c r="K87" i="3"/>
  <c r="F26" i="3"/>
  <c r="H17" i="3"/>
  <c r="H24" i="3"/>
  <c r="E137" i="3"/>
  <c r="E141" i="3" s="1"/>
  <c r="B194" i="3"/>
  <c r="D195" i="3"/>
  <c r="D196" i="3"/>
  <c r="D197" i="3"/>
  <c r="D202" i="3"/>
  <c r="D204" i="3"/>
  <c r="D206" i="3"/>
  <c r="D207" i="3"/>
  <c r="C201" i="3"/>
  <c r="D201" i="3" s="1"/>
  <c r="C200" i="3"/>
  <c r="D200" i="3" s="1"/>
  <c r="C199" i="3"/>
  <c r="D199" i="3" s="1"/>
  <c r="B191" i="3"/>
  <c r="D191" i="3" s="1"/>
  <c r="D190" i="3"/>
  <c r="D189" i="3"/>
  <c r="D188" i="3"/>
  <c r="D187" i="3"/>
  <c r="D186" i="3"/>
  <c r="D185" i="3"/>
  <c r="D184" i="3"/>
  <c r="B183" i="3"/>
  <c r="D182" i="3"/>
  <c r="H236" i="3"/>
  <c r="G246" i="3"/>
  <c r="E248" i="3"/>
  <c r="C246" i="3"/>
  <c r="B246" i="3"/>
  <c r="B242" i="3"/>
  <c r="H237" i="3"/>
  <c r="B231" i="3"/>
  <c r="D220" i="3"/>
  <c r="C220" i="3"/>
  <c r="B220" i="3"/>
  <c r="D246" i="3" s="1"/>
  <c r="D171" i="3"/>
  <c r="E169" i="3"/>
  <c r="E171" i="3" s="1"/>
  <c r="E165" i="3"/>
  <c r="D165" i="3"/>
  <c r="E159" i="3"/>
  <c r="D159" i="3"/>
  <c r="E153" i="3"/>
  <c r="D153" i="3"/>
  <c r="E148" i="3"/>
  <c r="D141" i="3"/>
  <c r="C124" i="3"/>
  <c r="C141" i="3" s="1"/>
  <c r="F116" i="3"/>
  <c r="F113" i="3"/>
  <c r="D87" i="3"/>
  <c r="E72" i="3"/>
  <c r="F84" i="3" s="1"/>
  <c r="C68" i="3"/>
  <c r="C87" i="3" s="1"/>
  <c r="F55" i="3"/>
  <c r="E30" i="3"/>
  <c r="F42" i="3" s="1"/>
  <c r="D46" i="3"/>
  <c r="F14" i="3"/>
  <c r="E102" i="1"/>
  <c r="M32" i="1"/>
  <c r="M31" i="1"/>
  <c r="B377" i="4" l="1"/>
  <c r="D335" i="4"/>
  <c r="E335" i="4"/>
  <c r="I246" i="3"/>
  <c r="I248" i="3" s="1"/>
  <c r="B248" i="3"/>
  <c r="D248" i="3"/>
  <c r="F87" i="3"/>
  <c r="G248" i="3"/>
  <c r="E46" i="3"/>
  <c r="C248" i="3"/>
  <c r="F248" i="3"/>
  <c r="D250" i="3" s="1"/>
  <c r="F140" i="3"/>
  <c r="F141" i="3" s="1"/>
  <c r="J137" i="3"/>
  <c r="J174" i="3" s="1"/>
  <c r="C208" i="3"/>
  <c r="B208" i="3"/>
  <c r="C46" i="3"/>
  <c r="B224" i="3"/>
  <c r="H235" i="3"/>
  <c r="D142" i="3"/>
  <c r="D183" i="3"/>
  <c r="D174" i="3"/>
  <c r="E87" i="3"/>
  <c r="D88" i="3" s="1"/>
  <c r="H234" i="3"/>
  <c r="D200" i="2"/>
  <c r="G199" i="2"/>
  <c r="F199" i="2"/>
  <c r="D199" i="2"/>
  <c r="C199" i="2"/>
  <c r="B199" i="2"/>
  <c r="H187" i="2" s="1"/>
  <c r="G198" i="2"/>
  <c r="G202" i="2" s="1"/>
  <c r="F198" i="2"/>
  <c r="F202" i="2" s="1"/>
  <c r="E198" i="2"/>
  <c r="E202" i="2" s="1"/>
  <c r="D198" i="2"/>
  <c r="D202" i="2" s="1"/>
  <c r="C198" i="2"/>
  <c r="C202" i="2" s="1"/>
  <c r="B198" i="2"/>
  <c r="B202" i="2" s="1"/>
  <c r="D204" i="2" s="1"/>
  <c r="B208" i="2" s="1"/>
  <c r="B194" i="2"/>
  <c r="H189" i="2"/>
  <c r="H188" i="2"/>
  <c r="H186" i="2"/>
  <c r="H192" i="2" s="1"/>
  <c r="B183" i="2"/>
  <c r="D172" i="2"/>
  <c r="C172" i="2"/>
  <c r="B172" i="2"/>
  <c r="B176" i="2" s="1"/>
  <c r="E155" i="2"/>
  <c r="E149" i="2"/>
  <c r="E145" i="2"/>
  <c r="E144" i="2"/>
  <c r="E143" i="2"/>
  <c r="E140" i="2"/>
  <c r="E156" i="2" s="1"/>
  <c r="I131" i="2"/>
  <c r="E129" i="2"/>
  <c r="D129" i="2"/>
  <c r="E128" i="2"/>
  <c r="E124" i="2"/>
  <c r="D124" i="2"/>
  <c r="E119" i="2"/>
  <c r="D119" i="2"/>
  <c r="E115" i="2"/>
  <c r="D115" i="2"/>
  <c r="E112" i="2"/>
  <c r="D105" i="2"/>
  <c r="E102" i="2"/>
  <c r="E101" i="2"/>
  <c r="F104" i="2" s="1"/>
  <c r="E100" i="2"/>
  <c r="F97" i="2"/>
  <c r="C91" i="2"/>
  <c r="C105" i="2" s="1"/>
  <c r="J90" i="2"/>
  <c r="F82" i="2"/>
  <c r="F79" i="2"/>
  <c r="D74" i="2"/>
  <c r="F71" i="2"/>
  <c r="E70" i="2"/>
  <c r="E59" i="2"/>
  <c r="E74" i="2" s="1"/>
  <c r="C55" i="2"/>
  <c r="C74" i="2" s="1"/>
  <c r="F51" i="2"/>
  <c r="F74" i="2" s="1"/>
  <c r="F44" i="2"/>
  <c r="E39" i="2"/>
  <c r="E24" i="2"/>
  <c r="F36" i="2" s="1"/>
  <c r="D18" i="2"/>
  <c r="D39" i="2" s="1"/>
  <c r="E16" i="2"/>
  <c r="F20" i="2" s="1"/>
  <c r="F13" i="2"/>
  <c r="F39" i="2" s="1"/>
  <c r="C57" i="1"/>
  <c r="F53" i="1"/>
  <c r="F73" i="1"/>
  <c r="C107" i="1"/>
  <c r="F107" i="1"/>
  <c r="F106" i="1"/>
  <c r="C93" i="1"/>
  <c r="F99" i="1"/>
  <c r="H240" i="3" l="1"/>
  <c r="D208" i="3"/>
  <c r="F46" i="3"/>
  <c r="D75" i="2"/>
  <c r="D131" i="2"/>
  <c r="D40" i="2"/>
  <c r="F105" i="2"/>
  <c r="J18" i="2"/>
  <c r="J131" i="2" s="1"/>
  <c r="E105" i="2"/>
  <c r="E131" i="2" s="1"/>
  <c r="E158" i="2" s="1"/>
  <c r="C20" i="2"/>
  <c r="C39" i="2" s="1"/>
  <c r="E157" i="1"/>
  <c r="E151" i="1"/>
  <c r="E174" i="3" l="1"/>
  <c r="D47" i="3"/>
  <c r="D158" i="2"/>
  <c r="E133" i="2"/>
  <c r="D106" i="2"/>
  <c r="G201" i="1"/>
  <c r="G200" i="1"/>
  <c r="F201" i="1"/>
  <c r="F200" i="1"/>
  <c r="E200" i="1"/>
  <c r="E176" i="3" l="1"/>
  <c r="E160" i="2"/>
  <c r="D163" i="2"/>
  <c r="H191" i="1"/>
  <c r="G204" i="1"/>
  <c r="F46" i="1"/>
  <c r="C76" i="1"/>
  <c r="F84" i="1"/>
  <c r="F81" i="1"/>
  <c r="E103" i="1"/>
  <c r="E104" i="1"/>
  <c r="F13" i="1"/>
  <c r="E210" i="3" l="1"/>
  <c r="D211" i="3" s="1"/>
  <c r="B207" i="2"/>
  <c r="B209" i="2" s="1"/>
  <c r="E163" i="2"/>
  <c r="E72" i="1"/>
  <c r="E61" i="1"/>
  <c r="E24" i="1"/>
  <c r="F36" i="1" s="1"/>
  <c r="E16" i="1"/>
  <c r="F20" i="1" s="1"/>
  <c r="D18" i="1"/>
  <c r="C20" i="1" s="1"/>
  <c r="C41" i="1" s="1"/>
  <c r="E211" i="3" l="1"/>
  <c r="B254" i="3"/>
  <c r="F76" i="1"/>
  <c r="E41" i="1"/>
  <c r="D41" i="1"/>
  <c r="J92" i="1"/>
  <c r="J18" i="1"/>
  <c r="B200" i="1"/>
  <c r="J133" i="1" l="1"/>
  <c r="D202" i="1"/>
  <c r="H190" i="1" s="1"/>
  <c r="F204" i="1"/>
  <c r="E204" i="1"/>
  <c r="D201" i="1"/>
  <c r="C201" i="1"/>
  <c r="B201" i="1"/>
  <c r="B204" i="1" s="1"/>
  <c r="C200" i="1"/>
  <c r="B196" i="1"/>
  <c r="B185" i="1"/>
  <c r="D174" i="1"/>
  <c r="C174" i="1"/>
  <c r="B174" i="1"/>
  <c r="D200" i="1" s="1"/>
  <c r="D204" i="1" l="1"/>
  <c r="C204" i="1"/>
  <c r="H189" i="1"/>
  <c r="H188" i="1"/>
  <c r="B178" i="1"/>
  <c r="E107" i="1"/>
  <c r="D107" i="1"/>
  <c r="D76" i="1"/>
  <c r="D206" i="1" l="1"/>
  <c r="B210" i="1" s="1"/>
  <c r="D108" i="1"/>
  <c r="H194" i="1"/>
  <c r="D42" i="1"/>
  <c r="E142" i="1"/>
  <c r="E158" i="1" s="1"/>
  <c r="E147" i="1"/>
  <c r="E146" i="1"/>
  <c r="E145" i="1"/>
  <c r="I133" i="1" l="1"/>
  <c r="D131" i="1"/>
  <c r="E126" i="1"/>
  <c r="D126" i="1"/>
  <c r="E121" i="1"/>
  <c r="D121" i="1"/>
  <c r="E117" i="1"/>
  <c r="D117" i="1"/>
  <c r="E76" i="1"/>
  <c r="D133" i="1" l="1"/>
  <c r="D160" i="1" s="1"/>
  <c r="D77" i="1"/>
  <c r="E114" i="1"/>
  <c r="E130" i="1"/>
  <c r="E131" i="1" s="1"/>
  <c r="E133" i="1" s="1"/>
  <c r="E135" i="1" l="1"/>
  <c r="E160" i="1"/>
  <c r="E162" i="1" s="1"/>
  <c r="B209" i="1" l="1"/>
  <c r="B211" i="1" s="1"/>
  <c r="D165" i="1"/>
  <c r="E165" i="1"/>
  <c r="B255" i="3"/>
  <c r="B256" i="3" s="1"/>
  <c r="B378" i="4"/>
  <c r="B379" i="4" s="1"/>
</calcChain>
</file>

<file path=xl/sharedStrings.xml><?xml version="1.0" encoding="utf-8"?>
<sst xmlns="http://schemas.openxmlformats.org/spreadsheetml/2006/main" count="1136" uniqueCount="408">
  <si>
    <t>Strategic Plan:</t>
  </si>
  <si>
    <t>Crisis Stabilization Unit (CSU)</t>
  </si>
  <si>
    <t>not at this time</t>
  </si>
  <si>
    <t>Property Acquisition</t>
  </si>
  <si>
    <t>Design/Engineering</t>
  </si>
  <si>
    <t>Testing/Inspections</t>
  </si>
  <si>
    <t>Construction Manager</t>
  </si>
  <si>
    <t>Replace ceiling fans</t>
  </si>
  <si>
    <t>Fencing</t>
  </si>
  <si>
    <t>Fire Sprinklers</t>
  </si>
  <si>
    <t>Maintenance</t>
  </si>
  <si>
    <t>Utilities</t>
  </si>
  <si>
    <t>Landscape/Custodial</t>
  </si>
  <si>
    <t>Staffing (effective 2023)</t>
  </si>
  <si>
    <t>What purpose?</t>
  </si>
  <si>
    <t>Property Acquistion (CHFA Grant)</t>
  </si>
  <si>
    <t>Facility Planning and Progranning</t>
  </si>
  <si>
    <t>Design, Engineering and Criteria</t>
  </si>
  <si>
    <t>Special Consultants (Environmental/CEQA, Behavioral  Health Expert)</t>
  </si>
  <si>
    <t>Geothechnical Investigation/Surveying</t>
  </si>
  <si>
    <t>Building Commissioning</t>
  </si>
  <si>
    <t>Materials Testing (Construction)</t>
  </si>
  <si>
    <t>Plan Check, Permit and Inspection Fees</t>
  </si>
  <si>
    <t>Utility Connections</t>
  </si>
  <si>
    <t>Advertising, Printing and Mailing</t>
  </si>
  <si>
    <t>Construction</t>
  </si>
  <si>
    <t>Architecture and Design</t>
  </si>
  <si>
    <t>Construction contingency</t>
  </si>
  <si>
    <t>Build/Support</t>
  </si>
  <si>
    <t>Construction contingency (10%)</t>
  </si>
  <si>
    <t>Measure B Expenditure Plan as it Connects to the Strategic Plan</t>
  </si>
  <si>
    <t>Land acquisition</t>
  </si>
  <si>
    <t>General Remodel</t>
  </si>
  <si>
    <t>Construction/Remodel</t>
  </si>
  <si>
    <t>Furnishing/Equipment</t>
  </si>
  <si>
    <t>Other Internal Partner Fees and Overhead</t>
  </si>
  <si>
    <t>Contingency on General Remodel only  (15%)</t>
  </si>
  <si>
    <t>Remodel:                  number of beds?</t>
  </si>
  <si>
    <t>Notes/Questions</t>
  </si>
  <si>
    <t>General operational costs</t>
  </si>
  <si>
    <t>Ongoing Operations</t>
  </si>
  <si>
    <t>Purchase/renovate for permanent housing</t>
  </si>
  <si>
    <r>
      <t>$340,000/yr for 4 years;</t>
    </r>
    <r>
      <rPr>
        <b/>
        <sz val="11"/>
        <color theme="1"/>
        <rFont val="Calibri"/>
        <family val="2"/>
        <scheme val="minor"/>
      </rPr>
      <t xml:space="preserve"> Location/vehicles?</t>
    </r>
  </si>
  <si>
    <r>
      <t xml:space="preserve">$260,000/yr for 4 years; </t>
    </r>
    <r>
      <rPr>
        <b/>
        <sz val="11"/>
        <color theme="1"/>
        <rFont val="Calibri"/>
        <family val="2"/>
        <scheme val="minor"/>
      </rPr>
      <t>Location?</t>
    </r>
  </si>
  <si>
    <t>Providing Services</t>
  </si>
  <si>
    <t>Providing services</t>
  </si>
  <si>
    <r>
      <t xml:space="preserve">$340,000/yr for 4 years; </t>
    </r>
    <r>
      <rPr>
        <b/>
        <sz val="11"/>
        <color theme="1"/>
        <rFont val="Calibri"/>
        <family val="2"/>
        <scheme val="minor"/>
      </rPr>
      <t>Vehicles/Location?</t>
    </r>
  </si>
  <si>
    <r>
      <t>$350,000/yr;</t>
    </r>
    <r>
      <rPr>
        <b/>
        <sz val="11"/>
        <color theme="1"/>
        <rFont val="Calibri"/>
        <family val="2"/>
        <scheme val="minor"/>
      </rPr>
      <t xml:space="preserve"> Location?</t>
    </r>
  </si>
  <si>
    <t>Operational costs?</t>
  </si>
  <si>
    <t>Ongoing Costs</t>
  </si>
  <si>
    <t xml:space="preserve"> </t>
  </si>
  <si>
    <t>4 year cost? Ongoing costs?</t>
  </si>
  <si>
    <t>1.  Crisis Residential Treatment (CRT)</t>
  </si>
  <si>
    <t>2.  Other Inpatient Psychiatric Care or         PHF Unit</t>
  </si>
  <si>
    <t>4.  Expanded outreach/                            Mobile Outreach Teams</t>
  </si>
  <si>
    <t>5.  Expansion of Support Programs and Wellness Efforts (Community Education, Awareness, and Support (CEAS))</t>
  </si>
  <si>
    <t>6.  Supportive Housing</t>
  </si>
  <si>
    <t>Totals for all 7 Programs:</t>
  </si>
  <si>
    <t>Lee Kemper Report</t>
  </si>
  <si>
    <t>Assessor Clerk Recorder - Election Costs</t>
  </si>
  <si>
    <t>Lee Kemper Behavioral Needs Assessment</t>
  </si>
  <si>
    <t>Lee Kemper - Reimburse Executive Office</t>
  </si>
  <si>
    <t>Office Expenses - Reimburse Executive Office</t>
  </si>
  <si>
    <t>CEO Labor and Benefits</t>
  </si>
  <si>
    <t>Nash Gonzalez consulting</t>
  </si>
  <si>
    <t>Sarah Riley consulting</t>
  </si>
  <si>
    <t>Verizon cell phone</t>
  </si>
  <si>
    <t>Fishman Supply Co - office supplies</t>
  </si>
  <si>
    <t>ATT Teleconference</t>
  </si>
  <si>
    <t>Laptop for Measure B</t>
  </si>
  <si>
    <t>Measure B Salary and Benefits - A. Blair</t>
  </si>
  <si>
    <t>Sonoma Media</t>
  </si>
  <si>
    <t>CDW GOVT and Granite Data -Pcard</t>
  </si>
  <si>
    <t>GMR Transcription July - March 2020</t>
  </si>
  <si>
    <t>Facilities Salary and Benefits - Maintenance Training Ctr</t>
  </si>
  <si>
    <t>Monthly Utilities - Repairs/Supplies Training Center</t>
  </si>
  <si>
    <t>Additional Services/Operational Costs</t>
  </si>
  <si>
    <t>Capital costs        (Max 75%)</t>
  </si>
  <si>
    <t>Service or program/operational costs (Min 25%)</t>
  </si>
  <si>
    <t>TOTAL COST: CRT</t>
  </si>
  <si>
    <t>TOTAL COST: PHF</t>
  </si>
  <si>
    <t>TOTAL COST: MOBILE OUTREACH</t>
  </si>
  <si>
    <t>TOTAL COST: CEAS</t>
  </si>
  <si>
    <t>TOTAL COST: SUPP. HOUSING</t>
  </si>
  <si>
    <t>TOTAL COST: HOSPITAL CARE</t>
  </si>
  <si>
    <t>TOTAL COST BY FUNCTION: CRT</t>
  </si>
  <si>
    <t>TOTAL COST BY FUNCTION: PHF</t>
  </si>
  <si>
    <t>TOTAL MEASURE B DOLLARS ALLOCATED:</t>
  </si>
  <si>
    <t>Total Allocated Measure B dollars by function:</t>
  </si>
  <si>
    <t>April 2018 to June 2018</t>
  </si>
  <si>
    <t>July 2018 to June 2019</t>
  </si>
  <si>
    <t>July 2019 to June 2020</t>
  </si>
  <si>
    <t>Amount</t>
  </si>
  <si>
    <t>Projected  July 2020 to June 2021</t>
  </si>
  <si>
    <t>Projected  July 2021 to June 2022</t>
  </si>
  <si>
    <t>Projected July 2022 to March 2023</t>
  </si>
  <si>
    <t>TAX PROCEEDS (5 years)</t>
  </si>
  <si>
    <t>CHFA Grant</t>
  </si>
  <si>
    <t xml:space="preserve">Quarterly Interest </t>
  </si>
  <si>
    <t>Year 1</t>
  </si>
  <si>
    <t>Year 2</t>
  </si>
  <si>
    <t>Year 3</t>
  </si>
  <si>
    <t>Year 4</t>
  </si>
  <si>
    <t>Year 5</t>
  </si>
  <si>
    <t>Maximum</t>
  </si>
  <si>
    <t>Minimum</t>
  </si>
  <si>
    <t>Operations</t>
  </si>
  <si>
    <t>Facilities</t>
  </si>
  <si>
    <t>+</t>
  </si>
  <si>
    <t>Annual Facilities Revenue</t>
  </si>
  <si>
    <t>REVENUES</t>
  </si>
  <si>
    <t>Up to $500,000 annual cost for 4 years</t>
  </si>
  <si>
    <t>other annual ongoing costs after expected reimbursements</t>
  </si>
  <si>
    <t xml:space="preserve">Site Work </t>
  </si>
  <si>
    <t>Site work contingency (10%)</t>
  </si>
  <si>
    <t>Escalation from estimate 4% @ 4 mos</t>
  </si>
  <si>
    <t>Construction Management Contingency @15%</t>
  </si>
  <si>
    <t>Plan Check and Permit  Fees</t>
  </si>
  <si>
    <t>County Staffing Cost-Facilities, Planning, etc.</t>
  </si>
  <si>
    <t>Furnishings/Fixtures/Equipment</t>
  </si>
  <si>
    <t>Other CEQA cost</t>
  </si>
  <si>
    <t>City of Ukiah Address Change</t>
  </si>
  <si>
    <t>City of Ukiah Easement, Additional Fees</t>
  </si>
  <si>
    <t>Contingency (15% of Add't'l Construction costs</t>
  </si>
  <si>
    <t>a</t>
  </si>
  <si>
    <t>b</t>
  </si>
  <si>
    <t>c</t>
  </si>
  <si>
    <t>d</t>
  </si>
  <si>
    <t>e</t>
  </si>
  <si>
    <t>f</t>
  </si>
  <si>
    <t>g</t>
  </si>
  <si>
    <t>*h</t>
  </si>
  <si>
    <t>*i</t>
  </si>
  <si>
    <t>*j</t>
  </si>
  <si>
    <t>*k</t>
  </si>
  <si>
    <t>*l</t>
  </si>
  <si>
    <t>*m</t>
  </si>
  <si>
    <t>BHRTC Rental</t>
  </si>
  <si>
    <t>SUBTOTALS for Capital costs</t>
  </si>
  <si>
    <t>SUBTOTALS for Operational costs</t>
  </si>
  <si>
    <t>TOTAL of Contingencies</t>
  </si>
  <si>
    <t>Pct for Capital costs</t>
  </si>
  <si>
    <t>Pct for Operations costs</t>
  </si>
  <si>
    <t>TOTAL MEASURE B EXPENSES ALLOCATED:</t>
  </si>
  <si>
    <t>TOTAL MEASURE B REVENUES:</t>
  </si>
  <si>
    <t>PROJECTED MEASURE B DOLLARS STILL AVAILABLE:</t>
  </si>
  <si>
    <r>
      <t xml:space="preserve">18-19 </t>
    </r>
    <r>
      <rPr>
        <b/>
        <sz val="11"/>
        <color theme="1"/>
        <rFont val="Calibri"/>
        <family val="2"/>
        <scheme val="minor"/>
      </rPr>
      <t>actual</t>
    </r>
    <r>
      <rPr>
        <sz val="11"/>
        <color theme="1"/>
        <rFont val="Calibri"/>
        <family val="2"/>
        <scheme val="minor"/>
      </rPr>
      <t xml:space="preserve">     Year 1 (Jul-Jun)</t>
    </r>
  </si>
  <si>
    <r>
      <t xml:space="preserve">17-18 </t>
    </r>
    <r>
      <rPr>
        <b/>
        <sz val="11"/>
        <color theme="1"/>
        <rFont val="Calibri"/>
        <family val="2"/>
        <scheme val="minor"/>
      </rPr>
      <t xml:space="preserve">actual </t>
    </r>
    <r>
      <rPr>
        <sz val="11"/>
        <color theme="1"/>
        <rFont val="Calibri"/>
        <family val="2"/>
        <scheme val="minor"/>
      </rPr>
      <t xml:space="preserve">     (Apr-Jun ONLY)</t>
    </r>
  </si>
  <si>
    <r>
      <t xml:space="preserve">19-20 </t>
    </r>
    <r>
      <rPr>
        <b/>
        <sz val="11"/>
        <color theme="1"/>
        <rFont val="Calibri"/>
        <family val="2"/>
        <scheme val="minor"/>
      </rPr>
      <t>actual</t>
    </r>
    <r>
      <rPr>
        <sz val="11"/>
        <color theme="1"/>
        <rFont val="Calibri"/>
        <family val="2"/>
        <scheme val="minor"/>
      </rPr>
      <t xml:space="preserve">      Year 2 (Jul-Jun)</t>
    </r>
  </si>
  <si>
    <r>
      <t xml:space="preserve">20-21 </t>
    </r>
    <r>
      <rPr>
        <b/>
        <sz val="11"/>
        <color theme="1"/>
        <rFont val="Calibri"/>
        <family val="2"/>
        <scheme val="minor"/>
      </rPr>
      <t>projected</t>
    </r>
    <r>
      <rPr>
        <sz val="11"/>
        <color theme="1"/>
        <rFont val="Calibri"/>
        <family val="2"/>
        <scheme val="minor"/>
      </rPr>
      <t xml:space="preserve">     Year 3 (Jul-Jun)</t>
    </r>
  </si>
  <si>
    <r>
      <t xml:space="preserve">21-22 </t>
    </r>
    <r>
      <rPr>
        <b/>
        <sz val="11"/>
        <color theme="1"/>
        <rFont val="Calibri"/>
        <family val="2"/>
        <scheme val="minor"/>
      </rPr>
      <t>projected</t>
    </r>
    <r>
      <rPr>
        <sz val="11"/>
        <color theme="1"/>
        <rFont val="Calibri"/>
        <family val="2"/>
        <scheme val="minor"/>
      </rPr>
      <t xml:space="preserve"> Year 4 (Jul-Jun)</t>
    </r>
  </si>
  <si>
    <r>
      <t xml:space="preserve">22-23 </t>
    </r>
    <r>
      <rPr>
        <b/>
        <sz val="11"/>
        <color theme="1"/>
        <rFont val="Calibri"/>
        <family val="2"/>
        <scheme val="minor"/>
      </rPr>
      <t>projected</t>
    </r>
    <r>
      <rPr>
        <sz val="11"/>
        <color theme="1"/>
        <rFont val="Calibri"/>
        <family val="2"/>
        <scheme val="minor"/>
      </rPr>
      <t xml:space="preserve"> Year 5               Jul - Mar ONLY</t>
    </r>
  </si>
  <si>
    <t>7.  Partial hospital care/                 rehabilitative care/board and care</t>
  </si>
  <si>
    <t>Measure B Salary and Benefits Alyson Bailey</t>
  </si>
  <si>
    <t>(4 yrs @$134K/yr)</t>
  </si>
  <si>
    <t>Note: When the tax rate is lowered to (1/8)% after five years from (1/2)% for the first five years, this new rate will be 1/4 of the original rate. (1/8 is 1/4 of 1/2.) Thus, if we use projected annual tax proceeds of  $7,250,000 , the ongoing Measure B monies would be 1/4 of this or $1,812,500 annually. This amount is close to the calculated amount of $1,881,160 in ongoing costs.</t>
  </si>
  <si>
    <t>3.  Behavioral Health Regional Training Center</t>
  </si>
  <si>
    <t>TOTAL COST BY FUNCTION: BHRTC</t>
  </si>
  <si>
    <t>TOTAL COST: BHRTC</t>
  </si>
  <si>
    <t>TBD</t>
  </si>
  <si>
    <t>&lt;    subtotal</t>
  </si>
  <si>
    <t>Special Consultants (Environmental/CEQA, BH  Expert)</t>
  </si>
  <si>
    <t>subtotal   &gt;</t>
  </si>
  <si>
    <t>subtotal    &gt;</t>
  </si>
  <si>
    <t>&lt;   subtotal</t>
  </si>
  <si>
    <t>Note: According to this financial analysis, a projected balance of $9,642,941 in Measure B dollars remains. The committee could consider building a second Crisis Residential Treatment facility in Ft. Bragg with this balance. According to the above figures, the total cost for a CRT is $7,387,626. This includes general operational costs for the next four years. There are options for a CRT that could be considered other than acquiring property and building from the ground up that could be less costly.</t>
  </si>
  <si>
    <t>Cupples Bid: $3,145,765: add't'l costs resulting from this bid</t>
  </si>
  <si>
    <t>Facilities Salary and Benefits - Maintenance Training Ctr (in Sept 2020 exp report only)</t>
  </si>
  <si>
    <t>Monthly Utilities - Repairs/Supplies Training Center (in Sept 2020 exp report only)</t>
  </si>
  <si>
    <t>Sarah Riley consulting (nothing further since April of 2020)</t>
  </si>
  <si>
    <t>CEO Labor and Benefits : X. Ung hours worked</t>
  </si>
  <si>
    <t>Note: According to this financial analysis, a projected balance of $8,532,970 in Measure B dollars remains. The committee could consider building a second Crisis Residential Treatment facility in Ft. Bragg with this balance. According to the above figures, the total cost for a CRT is $7,387,626. This includes general operational costs for the next four years. There are options for a CRT that could be considered other than acquiring property and building from the ground up that could be less costly.</t>
  </si>
  <si>
    <t>5.  Expansion of Support Programs and Wellness Efforts (Community EDUCATION, Awareness, and Support (CEAS))</t>
  </si>
  <si>
    <t>Election: Assessor Clerk Recorder</t>
  </si>
  <si>
    <t>Budgeted amt</t>
  </si>
  <si>
    <t>Actual to date</t>
  </si>
  <si>
    <t>Balance</t>
  </si>
  <si>
    <t>report: $13,011+$10,282</t>
  </si>
  <si>
    <t>reimbursement executive office: $27,042</t>
  </si>
  <si>
    <t>needs assessment: $14,177</t>
  </si>
  <si>
    <t xml:space="preserve">Kemper </t>
  </si>
  <si>
    <t>Consulting</t>
  </si>
  <si>
    <t>Sarah Riley</t>
  </si>
  <si>
    <t>Nash Gonzalez</t>
  </si>
  <si>
    <t>Salaries</t>
  </si>
  <si>
    <t>Alyson Bailey</t>
  </si>
  <si>
    <t>X. Ung</t>
  </si>
  <si>
    <t>Miles</t>
  </si>
  <si>
    <t>Miller</t>
  </si>
  <si>
    <t>Office related</t>
  </si>
  <si>
    <t>cell phone</t>
  </si>
  <si>
    <t>supplies</t>
  </si>
  <si>
    <t>CDW</t>
  </si>
  <si>
    <t>GMR transcription</t>
  </si>
  <si>
    <t>County Counsel</t>
  </si>
  <si>
    <t>Insurance</t>
  </si>
  <si>
    <t>General liability annual</t>
  </si>
  <si>
    <t>Jul - Mar 2020</t>
  </si>
  <si>
    <t>Misc</t>
  </si>
  <si>
    <t>Totals for all 7 Programs by function</t>
  </si>
  <si>
    <t>TOTAL: ADDITIONAL COSTS</t>
  </si>
  <si>
    <t>Weer's report shows $274,457</t>
  </si>
  <si>
    <t>includes $4000 for septic repair</t>
  </si>
  <si>
    <t xml:space="preserve">Replace ceiling fans </t>
  </si>
  <si>
    <t xml:space="preserve">Fire Sprinklers </t>
  </si>
  <si>
    <t>Other Internal Costs/Partners</t>
  </si>
  <si>
    <t>Start-up costs: Furnishing/Equipment</t>
  </si>
  <si>
    <t>Design/Engineering: plans and permits</t>
  </si>
  <si>
    <t>Custodial</t>
  </si>
  <si>
    <t>Building Maintenance Mechanic</t>
  </si>
  <si>
    <t>Landscape Maintenance</t>
  </si>
  <si>
    <t>at $42/hr; $630/mo</t>
  </si>
  <si>
    <t>at $55/hr; $550/mo</t>
  </si>
  <si>
    <t>at $48/hr;  $192/mo</t>
  </si>
  <si>
    <t>Cost contingency for above 4 yrs at 13.85%</t>
  </si>
  <si>
    <t>Management (1 year only; effective 2023)</t>
  </si>
  <si>
    <t>Cost contingency for 1 yr management at 13.85%</t>
  </si>
  <si>
    <t>15% Contingency on General Remodel only</t>
  </si>
  <si>
    <t>Cupples alternate 1</t>
  </si>
  <si>
    <t>Cupples alternate 2</t>
  </si>
  <si>
    <t>Cupples alternate 3</t>
  </si>
  <si>
    <t>Cupples alternate 4</t>
  </si>
  <si>
    <t>Cupples alternate 5</t>
  </si>
  <si>
    <t>Cupples base bid, site work portion</t>
  </si>
  <si>
    <t>Cupples base bid, construction portion</t>
  </si>
  <si>
    <t>Construction Manager (AECOM)</t>
  </si>
  <si>
    <t>Architecture and Design - Nacht and Lewis</t>
  </si>
  <si>
    <t>Project escalation</t>
  </si>
  <si>
    <t>Contingencies</t>
  </si>
  <si>
    <t>Total base bid:</t>
  </si>
  <si>
    <t>Internal costs: County Staffing Cost-Facilities, Planning, etc.</t>
  </si>
  <si>
    <t>Construction contingency (10% of base bid)</t>
  </si>
  <si>
    <t>subtotal</t>
  </si>
  <si>
    <t>Projected BHRTC Rental</t>
  </si>
  <si>
    <t>64% to constr, 36% to site work</t>
  </si>
  <si>
    <t>Additional construction contingency to meet 10% threshhold (10% of base bid less $100,000)</t>
  </si>
  <si>
    <t>Improvement Cost</t>
  </si>
  <si>
    <t>Construction contingency 15%</t>
  </si>
  <si>
    <t>Contingency 10% of Architecture and Design</t>
  </si>
  <si>
    <t>Contingency 10% of Build/Support</t>
  </si>
  <si>
    <t>3.   Behavioral Health                                   Regional Training Center</t>
  </si>
  <si>
    <t>Vehicles</t>
  </si>
  <si>
    <t>$340,000/yr for 4 years</t>
  </si>
  <si>
    <t>Location: rent?</t>
  </si>
  <si>
    <t>$260,000/yr for 4 years</t>
  </si>
  <si>
    <t>$350,000/yr for 4 years</t>
  </si>
  <si>
    <t>$6587/mo x 48 mos (w adj)</t>
  </si>
  <si>
    <t>$5207/mo x 36 mos</t>
  </si>
  <si>
    <t>Bailey and Ung benefits (see [/ 381 om 20-21 Adopted Budget for BU 4052)</t>
  </si>
  <si>
    <r>
      <t xml:space="preserve">21-22 </t>
    </r>
    <r>
      <rPr>
        <b/>
        <sz val="11"/>
        <color theme="1"/>
        <rFont val="Calibri"/>
        <family val="2"/>
        <scheme val="minor"/>
      </rPr>
      <t>projected</t>
    </r>
    <r>
      <rPr>
        <sz val="11"/>
        <color theme="1"/>
        <rFont val="Calibri"/>
        <family val="2"/>
        <scheme val="minor"/>
      </rPr>
      <t xml:space="preserve">          Year 4 (Jul-Jun)</t>
    </r>
  </si>
  <si>
    <r>
      <t xml:space="preserve">20-21 </t>
    </r>
    <r>
      <rPr>
        <b/>
        <sz val="11"/>
        <color theme="1"/>
        <rFont val="Calibri"/>
        <family val="2"/>
        <scheme val="minor"/>
      </rPr>
      <t>projected</t>
    </r>
    <r>
      <rPr>
        <sz val="11"/>
        <color theme="1"/>
        <rFont val="Calibri"/>
        <family val="2"/>
        <scheme val="minor"/>
      </rPr>
      <t xml:space="preserve">                  Year 3 (Jul-Jun)</t>
    </r>
  </si>
  <si>
    <r>
      <t xml:space="preserve">22-23 </t>
    </r>
    <r>
      <rPr>
        <b/>
        <sz val="11"/>
        <color theme="1"/>
        <rFont val="Calibri"/>
        <family val="2"/>
        <scheme val="minor"/>
      </rPr>
      <t>projected</t>
    </r>
    <r>
      <rPr>
        <sz val="11"/>
        <color theme="1"/>
        <rFont val="Calibri"/>
        <family val="2"/>
        <scheme val="minor"/>
      </rPr>
      <t xml:space="preserve">          Year 5                       Jul - Mar ONLY</t>
    </r>
  </si>
  <si>
    <t>Property Acquistion</t>
  </si>
  <si>
    <t>2.  Other Inpatient Psychiatric Care            PHF Unit</t>
  </si>
  <si>
    <t>5.  Community Education, Awareness, and Support (CEAS)</t>
  </si>
  <si>
    <t>Percent for Capital costs</t>
  </si>
  <si>
    <t>Percent for Operations costs</t>
  </si>
  <si>
    <t>7.Crisis Assessment and Psychiatric Hospitalization Aftercare</t>
  </si>
  <si>
    <t>Note: When the tax rate is lowered to (1/8)% after five years from (1/2)% for the first five years, this new rate will be 1/4 of the original rate. (1/8 is 1/4 of 1/2.) Thus, if we use projected annual tax proceeds of  $7,800,000 , the ongoing Measure B monies would be 1/4 of this or $1,950,000 annually. This amount would be sufficient to fund the calculated amount of $1,860,374 in ongoing costs identified thus far.</t>
  </si>
  <si>
    <t>Totals</t>
  </si>
  <si>
    <t>interest</t>
  </si>
  <si>
    <t>tax proceeds</t>
  </si>
  <si>
    <t>Ongoing Costs (budgeted to include 4 years of costs except for staffing)</t>
  </si>
  <si>
    <t>&lt; monthly cost</t>
  </si>
  <si>
    <t>annual cost  &gt;</t>
  </si>
  <si>
    <t>&lt; annual cost</t>
  </si>
  <si>
    <t>Note: According to this financial analysis, a projected balance of Measure B dollars remains. The committee could consider building a second Crisis Residential Treatment facility in Ft. Bragg with this balance. According to the above figures, the total cost for a CRT is $6,975,093. This includes general operational costs for the next four years. There are options for a CRT that could be considered other than acquiring property and building from the ground up that could be less costly.</t>
  </si>
  <si>
    <t>Design, Engineering and Criteria (Nacht and Lewis)</t>
  </si>
  <si>
    <t>Facility Planning and Progranning (Nacht and Lewis)</t>
  </si>
  <si>
    <t xml:space="preserve">Architecture and Design </t>
  </si>
  <si>
    <t>PHF Design and Documentation</t>
  </si>
  <si>
    <t>PHF Construction Support</t>
  </si>
  <si>
    <t>Site Analysis and Evaluation  (determine site feasibility - phase 1)</t>
  </si>
  <si>
    <t>PREDESIGN</t>
  </si>
  <si>
    <t>CEQA Support (phase 1)</t>
  </si>
  <si>
    <t>DESIGN AND CONSTRUCTION</t>
  </si>
  <si>
    <t>A.  ARCHITECTURE AND DESIGN - NACHT AND LEWIS</t>
  </si>
  <si>
    <t>B.  CONSTRUCTION</t>
  </si>
  <si>
    <t>C.  BUILD/SUPPORT</t>
  </si>
  <si>
    <t>D. ONGOING OPERATIONS</t>
  </si>
  <si>
    <t>Design and Documentation - phase 3</t>
  </si>
  <si>
    <r>
      <t xml:space="preserve"> DESIGN AND CONSTRUCTION (</t>
    </r>
    <r>
      <rPr>
        <i/>
        <sz val="11"/>
        <color theme="1"/>
        <rFont val="Calibri"/>
        <family val="2"/>
        <scheme val="minor"/>
      </rPr>
      <t>assumes new construction of approximately 16,000 GSF)</t>
    </r>
  </si>
  <si>
    <t>B. CONSTRUCTION</t>
  </si>
  <si>
    <t>Construction Support - phase 3</t>
  </si>
  <si>
    <r>
      <t xml:space="preserve"> DESIGN AND CONSTRUCTION (</t>
    </r>
    <r>
      <rPr>
        <i/>
        <sz val="11"/>
        <color theme="1"/>
        <rFont val="Calibri"/>
        <family val="2"/>
        <scheme val="minor"/>
      </rPr>
      <t>assumes new construction of approximately 4,000 GSF)</t>
    </r>
  </si>
  <si>
    <r>
      <t xml:space="preserve">B.  CONSTRUCTION </t>
    </r>
    <r>
      <rPr>
        <i/>
        <sz val="11"/>
        <color theme="1"/>
        <rFont val="Calibri"/>
        <family val="2"/>
        <scheme val="minor"/>
      </rPr>
      <t>(cost for the PHF x 25%)</t>
    </r>
  </si>
  <si>
    <r>
      <t xml:space="preserve">C.  BUILD/SUPPORT </t>
    </r>
    <r>
      <rPr>
        <i/>
        <sz val="11"/>
        <color theme="1"/>
        <rFont val="Calibri"/>
        <family val="2"/>
        <scheme val="minor"/>
      </rPr>
      <t>(cost for the PHF x 25%)</t>
    </r>
  </si>
  <si>
    <t>D.  ONGOING OPERATIONS</t>
  </si>
  <si>
    <t>TOTAL COST BY FUNCTION: CSU</t>
  </si>
  <si>
    <t>TOTAL COST: CSU</t>
  </si>
  <si>
    <t>3.  Crisis Stabilization Unit (CSU)</t>
  </si>
  <si>
    <t>6.  Community Education, Awareness, and Support (CEAS)</t>
  </si>
  <si>
    <t>Cost</t>
  </si>
  <si>
    <t>15% ConstructionContingency</t>
  </si>
  <si>
    <t>Other</t>
  </si>
  <si>
    <t>Contingency 10% of other Build/Support</t>
  </si>
  <si>
    <t xml:space="preserve">revenue fr sales tax </t>
  </si>
  <si>
    <t>revenue fr interest</t>
  </si>
  <si>
    <t>Riley</t>
  </si>
  <si>
    <t>reimburse executive office</t>
  </si>
  <si>
    <t>report</t>
  </si>
  <si>
    <t>Gonzalez</t>
  </si>
  <si>
    <t>Verizon</t>
  </si>
  <si>
    <t>Laptop</t>
  </si>
  <si>
    <t>Utilities BHRTC</t>
  </si>
  <si>
    <t>Ung/Blair</t>
  </si>
  <si>
    <t>Facilities Salary/Benefits</t>
  </si>
  <si>
    <t>Jul 2019 to June 2020</t>
  </si>
  <si>
    <t>Miller/Miles</t>
  </si>
  <si>
    <t>Sonoma Sweepers</t>
  </si>
  <si>
    <t>X. Ung/Blair</t>
  </si>
  <si>
    <t xml:space="preserve">                                 </t>
  </si>
  <si>
    <t>Facilities Salaries/Benefits-Maintenance Training Ctr</t>
  </si>
  <si>
    <t>BHRTC</t>
  </si>
  <si>
    <t>Actuals through 6/30/20</t>
  </si>
  <si>
    <t>needs assessment (included in April to July 2018)</t>
  </si>
  <si>
    <t>April to July 2018</t>
  </si>
  <si>
    <t>Sarah Riley 18/19</t>
  </si>
  <si>
    <t>Sarah Riley 19/20</t>
  </si>
  <si>
    <t>Office Supplies</t>
  </si>
  <si>
    <t>Info Tech Equipment</t>
  </si>
  <si>
    <t>Bailey</t>
  </si>
  <si>
    <t>K. Miles</t>
  </si>
  <si>
    <t>L. Chavoya</t>
  </si>
  <si>
    <t>Ung</t>
  </si>
  <si>
    <t>J. Miller</t>
  </si>
  <si>
    <t>K. Lovato</t>
  </si>
  <si>
    <t>A.Turchin</t>
  </si>
  <si>
    <t>J. Beeler</t>
  </si>
  <si>
    <t>D. Thompson</t>
  </si>
  <si>
    <t>S. Smallcombs (MCRU)</t>
  </si>
  <si>
    <t>PreEmp Screen</t>
  </si>
  <si>
    <t>CIT Training</t>
  </si>
  <si>
    <t>Education and Training</t>
  </si>
  <si>
    <t>Prof and Spec Svcs-Other</t>
  </si>
  <si>
    <t>Public and Legal Notices</t>
  </si>
  <si>
    <t>Special Dept Exp</t>
  </si>
  <si>
    <t>20/21</t>
  </si>
  <si>
    <t>Fiscal Year</t>
  </si>
  <si>
    <t>Communications</t>
  </si>
  <si>
    <t>General Liability Insurance</t>
  </si>
  <si>
    <t>A-87 Costs</t>
  </si>
  <si>
    <t>Travel In-County</t>
  </si>
  <si>
    <t>Travel Out-of-County</t>
  </si>
  <si>
    <t>(sum of salaries in 20/21):</t>
  </si>
  <si>
    <t>Purchase Training Facility</t>
  </si>
  <si>
    <t>Cost to date: BHRTC</t>
  </si>
  <si>
    <t>Cost to date: CRT</t>
  </si>
  <si>
    <t>DNI here</t>
  </si>
  <si>
    <t>TOTAL COSTS through June 2019</t>
  </si>
  <si>
    <t>TOTAL COSTS ACTUAL (20/21)AND BUDGETED (21/22): DOES NOT INCLUDE INDIVIDUAL PROJECT COSTS</t>
  </si>
  <si>
    <t xml:space="preserve">22/23 projected </t>
  </si>
  <si>
    <t>Total of Non-Project-Specific Costs:</t>
  </si>
  <si>
    <t>PROJECTED MEAS B DOLLARS STILL AVAILABLE:</t>
  </si>
  <si>
    <t>8.  Supportive Housing</t>
  </si>
  <si>
    <t>7.  Mendocino Coast Crisis Respite Program</t>
  </si>
  <si>
    <t>Service provided by Redwood Community Services (RCS)</t>
  </si>
  <si>
    <t>4.   Behavioral Health Regional Training Center</t>
  </si>
  <si>
    <t>Fire Sprinklers (not approved by Meas B OC at 1-27-21 mtg)</t>
  </si>
  <si>
    <t>LED Lighting (approved by Meas B OC at 1-27-21 mtg)</t>
  </si>
  <si>
    <t>5.  Expanded outreach/ Mobile Outreach Teams</t>
  </si>
  <si>
    <t>Mental Health Treatment Act Audit</t>
  </si>
  <si>
    <t>Green=</t>
  </si>
  <si>
    <r>
      <t>Geotechnical Investigation (phase 1);</t>
    </r>
    <r>
      <rPr>
        <i/>
        <sz val="11"/>
        <color theme="1"/>
        <rFont val="Calibri"/>
        <family val="2"/>
        <scheme val="minor"/>
      </rPr>
      <t xml:space="preserve"> geotechnical scope for design level investigation of South Orchard Ave site only for the PHF); LACO Associates</t>
    </r>
  </si>
  <si>
    <t>Contract amount $3,134,765</t>
  </si>
  <si>
    <t>Contract amount $331,738</t>
  </si>
  <si>
    <t>Contract amount $295,858</t>
  </si>
  <si>
    <t>General Remodel(see BOS 1-26-21 presentation) Adams Construction</t>
  </si>
  <si>
    <t>Other (to match contract amount)</t>
  </si>
  <si>
    <t>Note: When the tax rate is lowered to (1/8)% after five years from (1/2)% for the first five years, this new rate will be 1/4 of the original rate. (1/8 is 1/4 of 1/2.) Thus, if we use projected annual tax proceeds of  $8,000,000 , the ongoing Measure B monies would be 1/4 of this or $2,000,000 annually. This amount would short to fund the identified calculated amount of $2,120,374 in ongoing costs identified thus far.</t>
  </si>
  <si>
    <t>Sarah Riley (amount charged to CRT); included in CRT budget</t>
  </si>
  <si>
    <t>9. Crisis Assessment and Psychiatric Hospitalization Aftercare</t>
  </si>
  <si>
    <t>NAMI Contract over 4 years</t>
  </si>
  <si>
    <t>Crisis Intervention Training 12/1-12/3, 2021</t>
  </si>
  <si>
    <t>Totals for all Programs by function</t>
  </si>
  <si>
    <t>Cost to Measure B is $240,000/yr</t>
  </si>
  <si>
    <t>Funded through additional funding streams including grants to sustaim program long term</t>
  </si>
  <si>
    <t>17-18 actual                (Apr-Jun ONLY)</t>
  </si>
  <si>
    <t>18-19 actual              Year 1 (Jul-Jun)</t>
  </si>
  <si>
    <t>19-20 actual              Year 2 (Jul-Jun)</t>
  </si>
  <si>
    <t>20-21 actual                           Year 3 (Jul-Jun)</t>
  </si>
  <si>
    <t>21-22 projected                    Year 4 (Jul-Jun)</t>
  </si>
  <si>
    <t>22-23 projected          Year 5                       Jul - Mar ONLY</t>
  </si>
  <si>
    <t>cont's subtotal</t>
  </si>
  <si>
    <t>ACTUAL EXPENSES</t>
  </si>
  <si>
    <t>BALANCE</t>
  </si>
  <si>
    <t>Design and Documentation/Construction Support (phase 2)</t>
  </si>
  <si>
    <t>Contingency 10% (Bidding)</t>
  </si>
  <si>
    <t>Surveying (phase 1)</t>
  </si>
  <si>
    <t>Construction Administration</t>
  </si>
  <si>
    <t>Whitmore Land PHF Study</t>
  </si>
  <si>
    <t>LACO</t>
  </si>
  <si>
    <t>Phillips Seabrook</t>
  </si>
  <si>
    <t>Ukiah Valley Fire</t>
  </si>
  <si>
    <t>UVSD</t>
  </si>
  <si>
    <t>SONOMA SWEEPERS</t>
  </si>
  <si>
    <t>PROJ CA001</t>
  </si>
  <si>
    <t>Redwood Empire Title</t>
  </si>
  <si>
    <t>N and L subtl</t>
  </si>
  <si>
    <t>Cupples alternate 1 (listed As $13,100 in contract)</t>
  </si>
  <si>
    <t>Custodial at $42/hr; $630/mo</t>
  </si>
  <si>
    <t>Building Maintenance Mechanic at $55/ht; $550/mo</t>
  </si>
  <si>
    <t>Landscape Maintenance at $48/hr; $`92/m0</t>
  </si>
  <si>
    <t>Utilities at $630/mo</t>
  </si>
  <si>
    <t>Management (1 year only; effective 2023); at $3,862.50/mo</t>
  </si>
  <si>
    <t>Budgeted           Capital costs        (Max 75%)</t>
  </si>
  <si>
    <t>Budgeted                               Service or program/operational costs (Min 25%)</t>
  </si>
  <si>
    <t>SUBTOTALS for Budgeted Operational costs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</si>
</sst>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8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CC66FF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84">
    <xf numFmtId="0" fontId="0" fillId="0" borderId="0" xfId="0"/>
    <xf numFmtId="0" fontId="0" fillId="0" borderId="0" xfId="0" applyAlignment="1">
      <alignment horizontal="right"/>
    </xf>
    <xf numFmtId="6" fontId="0" fillId="0" borderId="0" xfId="0" applyNumberFormat="1" applyAlignment="1">
      <alignment horizontal="center" wrapText="1"/>
    </xf>
    <xf numFmtId="6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/>
    <xf numFmtId="0" fontId="5" fillId="0" borderId="0" xfId="0" applyFont="1"/>
    <xf numFmtId="0" fontId="3" fillId="0" borderId="0" xfId="0" applyFont="1"/>
    <xf numFmtId="6" fontId="3" fillId="0" borderId="0" xfId="0" applyNumberFormat="1" applyFont="1" applyAlignment="1">
      <alignment horizontal="center" wrapText="1"/>
    </xf>
    <xf numFmtId="6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5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 wrapText="1"/>
    </xf>
    <xf numFmtId="0" fontId="4" fillId="0" borderId="2" xfId="0" applyFont="1" applyBorder="1" applyAlignment="1">
      <alignment horizontal="center"/>
    </xf>
    <xf numFmtId="0" fontId="3" fillId="0" borderId="2" xfId="0" applyFont="1" applyBorder="1"/>
    <xf numFmtId="6" fontId="3" fillId="0" borderId="2" xfId="0" applyNumberFormat="1" applyFont="1" applyBorder="1" applyAlignment="1">
      <alignment horizontal="center" wrapText="1"/>
    </xf>
    <xf numFmtId="6" fontId="3" fillId="0" borderId="2" xfId="0" applyNumberFormat="1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6" fontId="3" fillId="2" borderId="0" xfId="0" applyNumberFormat="1" applyFont="1" applyFill="1" applyAlignment="1">
      <alignment horizontal="center"/>
    </xf>
    <xf numFmtId="0" fontId="0" fillId="0" borderId="0" xfId="0" applyFill="1"/>
    <xf numFmtId="6" fontId="0" fillId="0" borderId="0" xfId="0" applyNumberFormat="1" applyFill="1" applyAlignment="1">
      <alignment horizontal="center"/>
    </xf>
    <xf numFmtId="0" fontId="0" fillId="0" borderId="0" xfId="0" applyFont="1" applyFill="1" applyAlignment="1">
      <alignment horizontal="left" wrapText="1"/>
    </xf>
    <xf numFmtId="6" fontId="0" fillId="0" borderId="2" xfId="0" applyNumberFormat="1" applyBorder="1" applyAlignment="1">
      <alignment horizontal="center" wrapText="1"/>
    </xf>
    <xf numFmtId="6" fontId="0" fillId="0" borderId="2" xfId="0" applyNumberFormat="1" applyBorder="1" applyAlignment="1">
      <alignment horizontal="center"/>
    </xf>
    <xf numFmtId="0" fontId="4" fillId="0" borderId="0" xfId="0" applyFont="1" applyAlignment="1">
      <alignment horizontal="right"/>
    </xf>
    <xf numFmtId="0" fontId="4" fillId="0" borderId="0" xfId="0" applyFont="1"/>
    <xf numFmtId="6" fontId="4" fillId="0" borderId="0" xfId="0" applyNumberFormat="1" applyFont="1" applyAlignment="1">
      <alignment horizontal="center" wrapText="1"/>
    </xf>
    <xf numFmtId="6" fontId="4" fillId="0" borderId="0" xfId="0" applyNumberFormat="1" applyFont="1" applyAlignment="1">
      <alignment horizontal="center"/>
    </xf>
    <xf numFmtId="6" fontId="6" fillId="0" borderId="0" xfId="0" applyNumberFormat="1" applyFont="1" applyAlignment="1">
      <alignment horizontal="center"/>
    </xf>
    <xf numFmtId="6" fontId="0" fillId="2" borderId="0" xfId="0" applyNumberFormat="1" applyFill="1" applyAlignment="1">
      <alignment horizontal="center"/>
    </xf>
    <xf numFmtId="6" fontId="0" fillId="2" borderId="0" xfId="0" applyNumberFormat="1" applyFill="1" applyBorder="1" applyAlignment="1">
      <alignment horizontal="center"/>
    </xf>
    <xf numFmtId="6" fontId="0" fillId="2" borderId="0" xfId="1" applyNumberFormat="1" applyFont="1" applyFill="1" applyAlignment="1">
      <alignment horizontal="center"/>
    </xf>
    <xf numFmtId="6" fontId="4" fillId="2" borderId="0" xfId="0" applyNumberFormat="1" applyFont="1" applyFill="1" applyAlignment="1">
      <alignment horizontal="center"/>
    </xf>
    <xf numFmtId="0" fontId="0" fillId="2" borderId="0" xfId="0" applyFill="1"/>
    <xf numFmtId="0" fontId="3" fillId="2" borderId="0" xfId="0" applyFont="1" applyFill="1"/>
    <xf numFmtId="0" fontId="4" fillId="2" borderId="0" xfId="0" applyFont="1" applyFill="1"/>
    <xf numFmtId="6" fontId="0" fillId="0" borderId="2" xfId="1" applyNumberFormat="1" applyFont="1" applyBorder="1" applyAlignment="1">
      <alignment horizontal="center"/>
    </xf>
    <xf numFmtId="6" fontId="0" fillId="0" borderId="2" xfId="0" applyNumberFormat="1" applyFill="1" applyBorder="1" applyAlignment="1">
      <alignment horizontal="center" wrapText="1"/>
    </xf>
    <xf numFmtId="6" fontId="0" fillId="0" borderId="2" xfId="0" applyNumberFormat="1" applyFill="1" applyBorder="1" applyAlignment="1">
      <alignment horizontal="center"/>
    </xf>
    <xf numFmtId="6" fontId="0" fillId="0" borderId="2" xfId="1" applyNumberFormat="1" applyFont="1" applyBorder="1" applyAlignment="1">
      <alignment horizontal="center" wrapText="1"/>
    </xf>
    <xf numFmtId="0" fontId="0" fillId="0" borderId="2" xfId="0" applyBorder="1" applyAlignment="1">
      <alignment horizontal="left"/>
    </xf>
    <xf numFmtId="0" fontId="0" fillId="0" borderId="2" xfId="0" applyBorder="1" applyAlignment="1">
      <alignment horizontal="left" wrapText="1"/>
    </xf>
    <xf numFmtId="0" fontId="2" fillId="0" borderId="0" xfId="0" applyFont="1" applyBorder="1" applyAlignment="1">
      <alignment horizontal="center"/>
    </xf>
    <xf numFmtId="0" fontId="0" fillId="0" borderId="2" xfId="0" applyBorder="1" applyAlignment="1"/>
    <xf numFmtId="0" fontId="0" fillId="0" borderId="2" xfId="0" applyBorder="1"/>
    <xf numFmtId="6" fontId="0" fillId="0" borderId="3" xfId="0" applyNumberFormat="1" applyBorder="1" applyAlignment="1">
      <alignment horizontal="center"/>
    </xf>
    <xf numFmtId="0" fontId="7" fillId="0" borderId="0" xfId="0" applyFont="1"/>
    <xf numFmtId="0" fontId="0" fillId="0" borderId="0" xfId="0" applyFill="1" applyBorder="1" applyAlignment="1">
      <alignment horizontal="right"/>
    </xf>
    <xf numFmtId="6" fontId="0" fillId="0" borderId="0" xfId="0" applyNumberFormat="1" applyAlignment="1">
      <alignment horizontal="left"/>
    </xf>
    <xf numFmtId="6" fontId="8" fillId="2" borderId="0" xfId="0" applyNumberFormat="1" applyFont="1" applyFill="1" applyAlignment="1">
      <alignment horizontal="center"/>
    </xf>
    <xf numFmtId="6" fontId="8" fillId="0" borderId="0" xfId="0" applyNumberFormat="1" applyFont="1" applyAlignment="1">
      <alignment horizontal="center"/>
    </xf>
    <xf numFmtId="0" fontId="8" fillId="0" borderId="0" xfId="0" applyFont="1"/>
    <xf numFmtId="0" fontId="8" fillId="0" borderId="0" xfId="0" applyFont="1" applyFill="1" applyBorder="1" applyAlignment="1">
      <alignment horizontal="right"/>
    </xf>
    <xf numFmtId="0" fontId="8" fillId="3" borderId="0" xfId="0" applyFont="1" applyFill="1"/>
    <xf numFmtId="6" fontId="8" fillId="3" borderId="2" xfId="0" applyNumberFormat="1" applyFont="1" applyFill="1" applyBorder="1" applyAlignment="1">
      <alignment horizontal="center" wrapText="1"/>
    </xf>
    <xf numFmtId="0" fontId="8" fillId="0" borderId="0" xfId="0" applyFont="1" applyFill="1"/>
    <xf numFmtId="6" fontId="8" fillId="0" borderId="0" xfId="0" applyNumberFormat="1" applyFont="1" applyFill="1" applyAlignment="1">
      <alignment horizontal="center"/>
    </xf>
    <xf numFmtId="0" fontId="8" fillId="0" borderId="0" xfId="0" applyFont="1" applyFill="1" applyAlignment="1">
      <alignment horizontal="center"/>
    </xf>
    <xf numFmtId="0" fontId="5" fillId="3" borderId="0" xfId="0" applyFont="1" applyFill="1" applyAlignment="1">
      <alignment horizontal="center"/>
    </xf>
    <xf numFmtId="0" fontId="0" fillId="3" borderId="0" xfId="0" applyFill="1"/>
    <xf numFmtId="6" fontId="3" fillId="3" borderId="2" xfId="0" applyNumberFormat="1" applyFont="1" applyFill="1" applyBorder="1" applyAlignment="1">
      <alignment horizontal="center"/>
    </xf>
    <xf numFmtId="6" fontId="0" fillId="3" borderId="2" xfId="0" applyNumberFormat="1" applyFill="1" applyBorder="1" applyAlignment="1">
      <alignment horizontal="center"/>
    </xf>
    <xf numFmtId="0" fontId="8" fillId="3" borderId="0" xfId="0" applyFont="1" applyFill="1" applyAlignment="1">
      <alignment horizontal="right"/>
    </xf>
    <xf numFmtId="6" fontId="8" fillId="2" borderId="0" xfId="1" applyNumberFormat="1" applyFont="1" applyFill="1" applyAlignment="1">
      <alignment horizontal="center"/>
    </xf>
    <xf numFmtId="6" fontId="8" fillId="0" borderId="0" xfId="0" applyNumberFormat="1" applyFont="1" applyAlignment="1">
      <alignment horizontal="center" wrapText="1"/>
    </xf>
    <xf numFmtId="0" fontId="8" fillId="3" borderId="0" xfId="0" applyFont="1" applyFill="1" applyAlignment="1">
      <alignment horizontal="right" wrapText="1"/>
    </xf>
    <xf numFmtId="6" fontId="0" fillId="0" borderId="4" xfId="0" applyNumberFormat="1" applyBorder="1" applyAlignment="1">
      <alignment horizontal="center" wrapText="1"/>
    </xf>
    <xf numFmtId="6" fontId="0" fillId="0" borderId="4" xfId="0" applyNumberFormat="1" applyBorder="1" applyAlignment="1">
      <alignment horizontal="center"/>
    </xf>
    <xf numFmtId="6" fontId="8" fillId="0" borderId="0" xfId="0" applyNumberFormat="1" applyFont="1" applyFill="1" applyBorder="1" applyAlignment="1">
      <alignment horizontal="center" wrapText="1"/>
    </xf>
    <xf numFmtId="0" fontId="0" fillId="0" borderId="5" xfId="0" applyBorder="1"/>
    <xf numFmtId="6" fontId="0" fillId="0" borderId="5" xfId="0" applyNumberFormat="1" applyBorder="1" applyAlignment="1">
      <alignment horizontal="center" wrapText="1"/>
    </xf>
    <xf numFmtId="6" fontId="0" fillId="0" borderId="5" xfId="0" applyNumberFormat="1" applyBorder="1" applyAlignment="1">
      <alignment horizontal="center"/>
    </xf>
    <xf numFmtId="0" fontId="8" fillId="3" borderId="2" xfId="0" applyFont="1" applyFill="1" applyBorder="1" applyAlignment="1">
      <alignment horizontal="right"/>
    </xf>
    <xf numFmtId="0" fontId="8" fillId="3" borderId="2" xfId="0" applyFont="1" applyFill="1" applyBorder="1"/>
    <xf numFmtId="0" fontId="8" fillId="4" borderId="2" xfId="0" applyFont="1" applyFill="1" applyBorder="1" applyAlignment="1">
      <alignment horizontal="right"/>
    </xf>
    <xf numFmtId="0" fontId="8" fillId="4" borderId="2" xfId="0" applyFont="1" applyFill="1" applyBorder="1"/>
    <xf numFmtId="6" fontId="0" fillId="0" borderId="0" xfId="0" applyNumberFormat="1" applyBorder="1" applyAlignment="1">
      <alignment horizontal="center" wrapText="1"/>
    </xf>
    <xf numFmtId="6" fontId="0" fillId="0" borderId="0" xfId="0" applyNumberFormat="1" applyBorder="1" applyAlignment="1">
      <alignment horizontal="center"/>
    </xf>
    <xf numFmtId="6" fontId="8" fillId="3" borderId="5" xfId="0" applyNumberFormat="1" applyFont="1" applyFill="1" applyBorder="1" applyAlignment="1">
      <alignment horizontal="center" wrapText="1"/>
    </xf>
    <xf numFmtId="0" fontId="0" fillId="4" borderId="0" xfId="0" applyFill="1"/>
    <xf numFmtId="6" fontId="4" fillId="4" borderId="1" xfId="0" applyNumberFormat="1" applyFont="1" applyFill="1" applyBorder="1" applyAlignment="1">
      <alignment horizontal="center"/>
    </xf>
    <xf numFmtId="0" fontId="0" fillId="3" borderId="1" xfId="0" applyFill="1" applyBorder="1"/>
    <xf numFmtId="6" fontId="4" fillId="3" borderId="1" xfId="0" applyNumberFormat="1" applyFont="1" applyFill="1" applyBorder="1" applyAlignment="1">
      <alignment horizontal="center" wrapText="1"/>
    </xf>
    <xf numFmtId="6" fontId="4" fillId="3" borderId="1" xfId="0" applyNumberFormat="1" applyFont="1" applyFill="1" applyBorder="1" applyAlignment="1">
      <alignment horizontal="center"/>
    </xf>
    <xf numFmtId="0" fontId="4" fillId="3" borderId="1" xfId="0" applyFont="1" applyFill="1" applyBorder="1" applyAlignment="1">
      <alignment horizontal="right" wrapText="1"/>
    </xf>
    <xf numFmtId="9" fontId="8" fillId="0" borderId="2" xfId="2" applyFont="1" applyBorder="1" applyAlignment="1">
      <alignment horizontal="center" wrapText="1"/>
    </xf>
    <xf numFmtId="0" fontId="0" fillId="0" borderId="0" xfId="0" applyAlignment="1">
      <alignment horizontal="center"/>
    </xf>
    <xf numFmtId="9" fontId="0" fillId="0" borderId="0" xfId="2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3" xfId="0" applyBorder="1"/>
    <xf numFmtId="6" fontId="3" fillId="0" borderId="6" xfId="0" applyNumberFormat="1" applyFont="1" applyBorder="1" applyAlignment="1">
      <alignment horizontal="center" wrapText="1"/>
    </xf>
    <xf numFmtId="6" fontId="0" fillId="0" borderId="2" xfId="0" applyNumberFormat="1" applyFill="1" applyBorder="1" applyAlignment="1">
      <alignment horizontal="left"/>
    </xf>
    <xf numFmtId="6" fontId="9" fillId="0" borderId="2" xfId="0" applyNumberFormat="1" applyFont="1" applyBorder="1" applyAlignment="1">
      <alignment horizontal="center"/>
    </xf>
    <xf numFmtId="6" fontId="9" fillId="0" borderId="2" xfId="0" applyNumberFormat="1" applyFont="1" applyBorder="1" applyAlignment="1">
      <alignment horizontal="center" wrapText="1"/>
    </xf>
    <xf numFmtId="6" fontId="9" fillId="0" borderId="0" xfId="0" applyNumberFormat="1" applyFont="1" applyAlignment="1">
      <alignment horizontal="center"/>
    </xf>
    <xf numFmtId="6" fontId="9" fillId="0" borderId="0" xfId="0" applyNumberFormat="1" applyFont="1" applyAlignment="1">
      <alignment horizontal="center" wrapText="1"/>
    </xf>
    <xf numFmtId="6" fontId="8" fillId="3" borderId="0" xfId="0" applyNumberFormat="1" applyFont="1" applyFill="1" applyBorder="1" applyAlignment="1">
      <alignment horizontal="center" wrapText="1"/>
    </xf>
    <xf numFmtId="6" fontId="8" fillId="4" borderId="0" xfId="0" applyNumberFormat="1" applyFont="1" applyFill="1" applyBorder="1" applyAlignment="1">
      <alignment horizontal="center" wrapText="1"/>
    </xf>
    <xf numFmtId="6" fontId="9" fillId="0" borderId="0" xfId="0" applyNumberFormat="1" applyFont="1" applyBorder="1" applyAlignment="1">
      <alignment horizontal="center"/>
    </xf>
    <xf numFmtId="6" fontId="0" fillId="3" borderId="0" xfId="0" applyNumberFormat="1" applyFill="1" applyBorder="1" applyAlignment="1">
      <alignment horizontal="center"/>
    </xf>
    <xf numFmtId="6" fontId="0" fillId="0" borderId="0" xfId="1" applyNumberFormat="1" applyFont="1" applyBorder="1" applyAlignment="1">
      <alignment horizontal="center"/>
    </xf>
    <xf numFmtId="6" fontId="0" fillId="0" borderId="0" xfId="0" applyNumberFormat="1" applyFill="1" applyBorder="1" applyAlignment="1">
      <alignment horizontal="center"/>
    </xf>
    <xf numFmtId="6" fontId="9" fillId="0" borderId="0" xfId="0" applyNumberFormat="1" applyFont="1" applyBorder="1" applyAlignment="1">
      <alignment horizontal="center" wrapText="1"/>
    </xf>
    <xf numFmtId="6" fontId="4" fillId="3" borderId="0" xfId="0" applyNumberFormat="1" applyFont="1" applyFill="1" applyBorder="1" applyAlignment="1">
      <alignment horizontal="center"/>
    </xf>
    <xf numFmtId="6" fontId="4" fillId="4" borderId="0" xfId="0" applyNumberFormat="1" applyFont="1" applyFill="1" applyBorder="1" applyAlignment="1">
      <alignment horizontal="center"/>
    </xf>
    <xf numFmtId="9" fontId="8" fillId="0" borderId="0" xfId="2" applyFont="1" applyBorder="1" applyAlignment="1">
      <alignment horizontal="center" wrapText="1"/>
    </xf>
    <xf numFmtId="6" fontId="3" fillId="0" borderId="2" xfId="0" applyNumberFormat="1" applyFont="1" applyFill="1" applyBorder="1" applyAlignment="1">
      <alignment horizontal="center" wrapText="1"/>
    </xf>
    <xf numFmtId="6" fontId="3" fillId="0" borderId="0" xfId="0" applyNumberFormat="1" applyFont="1" applyFill="1" applyAlignment="1">
      <alignment horizontal="center"/>
    </xf>
    <xf numFmtId="6" fontId="4" fillId="0" borderId="0" xfId="0" applyNumberFormat="1" applyFont="1" applyFill="1" applyAlignment="1">
      <alignment horizontal="center"/>
    </xf>
    <xf numFmtId="6" fontId="0" fillId="0" borderId="1" xfId="0" applyNumberFormat="1" applyFill="1" applyBorder="1" applyAlignment="1">
      <alignment horizontal="center"/>
    </xf>
    <xf numFmtId="6" fontId="8" fillId="3" borderId="2" xfId="0" applyNumberFormat="1" applyFont="1" applyFill="1" applyBorder="1" applyAlignment="1">
      <alignment horizontal="center"/>
    </xf>
    <xf numFmtId="6" fontId="8" fillId="3" borderId="0" xfId="0" applyNumberFormat="1" applyFont="1" applyFill="1" applyAlignment="1">
      <alignment horizontal="center"/>
    </xf>
    <xf numFmtId="6" fontId="0" fillId="4" borderId="0" xfId="0" applyNumberFormat="1" applyFill="1" applyAlignment="1">
      <alignment horizontal="center"/>
    </xf>
    <xf numFmtId="6" fontId="8" fillId="4" borderId="2" xfId="0" applyNumberFormat="1" applyFont="1" applyFill="1" applyBorder="1" applyAlignment="1">
      <alignment horizontal="center"/>
    </xf>
    <xf numFmtId="6" fontId="0" fillId="0" borderId="0" xfId="0" applyNumberFormat="1" applyFill="1" applyAlignment="1">
      <alignment horizontal="center" wrapText="1"/>
    </xf>
    <xf numFmtId="0" fontId="0" fillId="0" borderId="0" xfId="0" applyBorder="1"/>
    <xf numFmtId="6" fontId="0" fillId="0" borderId="3" xfId="0" applyNumberFormat="1" applyBorder="1" applyAlignment="1">
      <alignment horizontal="center" wrapText="1"/>
    </xf>
    <xf numFmtId="6" fontId="4" fillId="0" borderId="0" xfId="0" applyNumberFormat="1" applyFont="1" applyBorder="1" applyAlignment="1">
      <alignment horizontal="center"/>
    </xf>
    <xf numFmtId="6" fontId="4" fillId="0" borderId="0" xfId="0" applyNumberFormat="1" applyFont="1" applyAlignment="1">
      <alignment horizontal="right"/>
    </xf>
    <xf numFmtId="164" fontId="0" fillId="0" borderId="0" xfId="0" applyNumberFormat="1" applyAlignment="1">
      <alignment horizontal="center"/>
    </xf>
    <xf numFmtId="0" fontId="8" fillId="0" borderId="7" xfId="0" applyFont="1" applyBorder="1" applyAlignment="1">
      <alignment horizontal="right"/>
    </xf>
    <xf numFmtId="6" fontId="8" fillId="0" borderId="8" xfId="0" applyNumberFormat="1" applyFont="1" applyBorder="1" applyAlignment="1">
      <alignment horizontal="center"/>
    </xf>
    <xf numFmtId="0" fontId="8" fillId="0" borderId="9" xfId="0" applyFont="1" applyBorder="1" applyAlignment="1">
      <alignment horizontal="right"/>
    </xf>
    <xf numFmtId="6" fontId="8" fillId="0" borderId="10" xfId="0" applyNumberFormat="1" applyFont="1" applyBorder="1" applyAlignment="1">
      <alignment horizontal="center"/>
    </xf>
    <xf numFmtId="0" fontId="8" fillId="0" borderId="11" xfId="0" applyFont="1" applyBorder="1"/>
    <xf numFmtId="6" fontId="0" fillId="0" borderId="0" xfId="0" applyNumberFormat="1" applyAlignment="1">
      <alignment wrapText="1"/>
    </xf>
    <xf numFmtId="0" fontId="8" fillId="0" borderId="0" xfId="0" applyFont="1" applyAlignment="1">
      <alignment wrapText="1"/>
    </xf>
    <xf numFmtId="6" fontId="0" fillId="0" borderId="14" xfId="0" applyNumberFormat="1" applyBorder="1" applyAlignment="1">
      <alignment horizontal="center" wrapText="1"/>
    </xf>
    <xf numFmtId="6" fontId="0" fillId="0" borderId="14" xfId="0" applyNumberFormat="1" applyBorder="1" applyAlignment="1">
      <alignment horizontal="center"/>
    </xf>
    <xf numFmtId="6" fontId="0" fillId="0" borderId="14" xfId="0" applyNumberFormat="1" applyFont="1" applyBorder="1" applyAlignment="1">
      <alignment horizontal="center"/>
    </xf>
    <xf numFmtId="6" fontId="0" fillId="0" borderId="0" xfId="0" applyNumberFormat="1"/>
    <xf numFmtId="6" fontId="0" fillId="0" borderId="0" xfId="0" applyNumberFormat="1" applyFill="1" applyBorder="1" applyAlignment="1">
      <alignment horizontal="left" wrapText="1"/>
    </xf>
    <xf numFmtId="6" fontId="5" fillId="0" borderId="0" xfId="0" applyNumberFormat="1" applyFont="1" applyFill="1" applyAlignment="1">
      <alignment horizontal="center"/>
    </xf>
    <xf numFmtId="6" fontId="5" fillId="0" borderId="0" xfId="0" applyNumberFormat="1" applyFont="1" applyAlignment="1">
      <alignment horizontal="center" wrapText="1"/>
    </xf>
    <xf numFmtId="6" fontId="0" fillId="0" borderId="0" xfId="0" applyNumberFormat="1" applyFont="1" applyFill="1" applyAlignment="1">
      <alignment horizontal="center"/>
    </xf>
    <xf numFmtId="6" fontId="0" fillId="0" borderId="0" xfId="0" applyNumberFormat="1" applyFont="1" applyAlignment="1">
      <alignment horizontal="center"/>
    </xf>
    <xf numFmtId="6" fontId="0" fillId="0" borderId="0" xfId="0" applyNumberFormat="1" applyFont="1" applyAlignment="1">
      <alignment wrapText="1"/>
    </xf>
    <xf numFmtId="0" fontId="0" fillId="0" borderId="0" xfId="0" applyFont="1"/>
    <xf numFmtId="0" fontId="10" fillId="0" borderId="0" xfId="0" applyFont="1" applyBorder="1" applyAlignment="1">
      <alignment wrapText="1"/>
    </xf>
    <xf numFmtId="6" fontId="0" fillId="0" borderId="0" xfId="0" applyNumberFormat="1" applyFont="1" applyAlignment="1">
      <alignment horizontal="left"/>
    </xf>
    <xf numFmtId="0" fontId="10" fillId="0" borderId="0" xfId="0" applyFont="1" applyAlignment="1">
      <alignment horizontal="right"/>
    </xf>
    <xf numFmtId="6" fontId="5" fillId="0" borderId="0" xfId="0" applyNumberFormat="1" applyFont="1" applyAlignment="1">
      <alignment horizontal="center"/>
    </xf>
    <xf numFmtId="0" fontId="8" fillId="0" borderId="0" xfId="0" applyFont="1" applyAlignment="1">
      <alignment horizontal="left"/>
    </xf>
    <xf numFmtId="6" fontId="0" fillId="0" borderId="0" xfId="0" applyNumberFormat="1" applyAlignment="1">
      <alignment horizontal="right"/>
    </xf>
    <xf numFmtId="6" fontId="0" fillId="0" borderId="3" xfId="0" applyNumberFormat="1" applyFont="1" applyBorder="1" applyAlignment="1">
      <alignment horizontal="center"/>
    </xf>
    <xf numFmtId="0" fontId="4" fillId="3" borderId="0" xfId="0" applyFont="1" applyFill="1" applyAlignment="1">
      <alignment horizontal="right"/>
    </xf>
    <xf numFmtId="6" fontId="4" fillId="3" borderId="0" xfId="0" applyNumberFormat="1" applyFont="1" applyFill="1" applyAlignment="1">
      <alignment horizontal="center" wrapText="1"/>
    </xf>
    <xf numFmtId="6" fontId="4" fillId="0" borderId="0" xfId="0" applyNumberFormat="1" applyFont="1" applyFill="1" applyBorder="1" applyAlignment="1">
      <alignment horizontal="center"/>
    </xf>
    <xf numFmtId="6" fontId="4" fillId="3" borderId="0" xfId="0" applyNumberFormat="1" applyFont="1" applyFill="1" applyAlignment="1">
      <alignment horizontal="center"/>
    </xf>
    <xf numFmtId="6" fontId="11" fillId="3" borderId="1" xfId="0" applyNumberFormat="1" applyFont="1" applyFill="1" applyBorder="1" applyAlignment="1">
      <alignment horizontal="center"/>
    </xf>
    <xf numFmtId="0" fontId="6" fillId="0" borderId="0" xfId="0" applyFont="1"/>
    <xf numFmtId="6" fontId="6" fillId="0" borderId="0" xfId="0" applyNumberFormat="1" applyFont="1" applyFill="1" applyAlignment="1">
      <alignment horizontal="center"/>
    </xf>
    <xf numFmtId="6" fontId="6" fillId="0" borderId="0" xfId="0" applyNumberFormat="1" applyFont="1" applyAlignment="1">
      <alignment horizontal="center" wrapText="1"/>
    </xf>
    <xf numFmtId="6" fontId="0" fillId="0" borderId="3" xfId="0" applyNumberFormat="1" applyFont="1" applyFill="1" applyBorder="1" applyAlignment="1">
      <alignment horizontal="center"/>
    </xf>
    <xf numFmtId="0" fontId="8" fillId="0" borderId="0" xfId="0" applyFont="1" applyBorder="1" applyAlignment="1">
      <alignment wrapText="1"/>
    </xf>
    <xf numFmtId="0" fontId="2" fillId="0" borderId="0" xfId="0" applyFont="1" applyAlignment="1"/>
    <xf numFmtId="0" fontId="0" fillId="0" borderId="0" xfId="0" applyFont="1" applyAlignment="1"/>
    <xf numFmtId="6" fontId="0" fillId="0" borderId="0" xfId="0" applyNumberFormat="1" applyBorder="1" applyAlignment="1">
      <alignment horizontal="left"/>
    </xf>
    <xf numFmtId="8" fontId="0" fillId="2" borderId="0" xfId="0" applyNumberFormat="1" applyFill="1" applyAlignment="1">
      <alignment horizontal="center"/>
    </xf>
    <xf numFmtId="8" fontId="0" fillId="2" borderId="3" xfId="0" applyNumberFormat="1" applyFill="1" applyBorder="1" applyAlignment="1">
      <alignment horizontal="center"/>
    </xf>
    <xf numFmtId="8" fontId="0" fillId="2" borderId="0" xfId="0" applyNumberFormat="1" applyFill="1" applyBorder="1" applyAlignment="1">
      <alignment horizontal="center"/>
    </xf>
    <xf numFmtId="8" fontId="0" fillId="0" borderId="2" xfId="0" applyNumberFormat="1" applyBorder="1" applyAlignment="1">
      <alignment horizontal="center"/>
    </xf>
    <xf numFmtId="0" fontId="12" fillId="0" borderId="0" xfId="0" applyFont="1" applyAlignment="1">
      <alignment wrapText="1"/>
    </xf>
    <xf numFmtId="6" fontId="0" fillId="0" borderId="20" xfId="0" applyNumberFormat="1" applyBorder="1" applyAlignment="1">
      <alignment horizontal="center"/>
    </xf>
    <xf numFmtId="0" fontId="0" fillId="0" borderId="0" xfId="0" applyFont="1" applyAlignment="1">
      <alignment horizontal="left"/>
    </xf>
    <xf numFmtId="8" fontId="0" fillId="0" borderId="0" xfId="0" applyNumberFormat="1" applyAlignment="1">
      <alignment horizontal="center"/>
    </xf>
    <xf numFmtId="0" fontId="0" fillId="0" borderId="0" xfId="0" applyFont="1" applyAlignment="1">
      <alignment horizontal="left" wrapText="1"/>
    </xf>
    <xf numFmtId="6" fontId="0" fillId="0" borderId="14" xfId="0" applyNumberFormat="1" applyFill="1" applyBorder="1" applyAlignment="1">
      <alignment horizontal="center"/>
    </xf>
    <xf numFmtId="6" fontId="0" fillId="0" borderId="4" xfId="0" applyNumberFormat="1" applyFill="1" applyBorder="1" applyAlignment="1">
      <alignment horizontal="center"/>
    </xf>
    <xf numFmtId="6" fontId="0" fillId="0" borderId="14" xfId="0" applyNumberFormat="1" applyFill="1" applyBorder="1" applyAlignment="1">
      <alignment horizontal="center" wrapText="1"/>
    </xf>
    <xf numFmtId="6" fontId="0" fillId="0" borderId="4" xfId="0" applyNumberFormat="1" applyFill="1" applyBorder="1" applyAlignment="1">
      <alignment horizontal="center" wrapText="1"/>
    </xf>
    <xf numFmtId="0" fontId="4" fillId="5" borderId="1" xfId="0" applyFont="1" applyFill="1" applyBorder="1" applyAlignment="1">
      <alignment horizontal="center"/>
    </xf>
    <xf numFmtId="0" fontId="6" fillId="5" borderId="0" xfId="0" applyFont="1" applyFill="1" applyAlignment="1">
      <alignment horizontal="center" wrapText="1"/>
    </xf>
    <xf numFmtId="0" fontId="4" fillId="3" borderId="2" xfId="0" applyFont="1" applyFill="1" applyBorder="1" applyAlignment="1">
      <alignment horizontal="right"/>
    </xf>
    <xf numFmtId="0" fontId="4" fillId="3" borderId="2" xfId="0" applyFont="1" applyFill="1" applyBorder="1"/>
    <xf numFmtId="6" fontId="4" fillId="3" borderId="0" xfId="0" applyNumberFormat="1" applyFont="1" applyFill="1" applyBorder="1" applyAlignment="1">
      <alignment horizontal="center" wrapText="1"/>
    </xf>
    <xf numFmtId="6" fontId="4" fillId="3" borderId="2" xfId="0" applyNumberFormat="1" applyFont="1" applyFill="1" applyBorder="1" applyAlignment="1">
      <alignment horizontal="center"/>
    </xf>
    <xf numFmtId="6" fontId="4" fillId="3" borderId="19" xfId="0" applyNumberFormat="1" applyFont="1" applyFill="1" applyBorder="1" applyAlignment="1">
      <alignment horizontal="center" wrapText="1"/>
    </xf>
    <xf numFmtId="0" fontId="4" fillId="3" borderId="6" xfId="0" applyFont="1" applyFill="1" applyBorder="1" applyAlignment="1">
      <alignment horizontal="right"/>
    </xf>
    <xf numFmtId="6" fontId="4" fillId="3" borderId="2" xfId="0" applyNumberFormat="1" applyFont="1" applyFill="1" applyBorder="1" applyAlignment="1">
      <alignment horizontal="center" wrapText="1"/>
    </xf>
    <xf numFmtId="0" fontId="4" fillId="3" borderId="0" xfId="0" applyFont="1" applyFill="1"/>
    <xf numFmtId="6" fontId="4" fillId="3" borderId="5" xfId="0" applyNumberFormat="1" applyFont="1" applyFill="1" applyBorder="1" applyAlignment="1">
      <alignment horizontal="center" wrapText="1"/>
    </xf>
    <xf numFmtId="0" fontId="13" fillId="3" borderId="0" xfId="0" applyFont="1" applyFill="1"/>
    <xf numFmtId="6" fontId="13" fillId="3" borderId="0" xfId="0" applyNumberFormat="1" applyFont="1" applyFill="1" applyAlignment="1">
      <alignment horizontal="center"/>
    </xf>
    <xf numFmtId="6" fontId="0" fillId="0" borderId="17" xfId="0" applyNumberFormat="1" applyFill="1" applyBorder="1" applyAlignment="1">
      <alignment horizontal="center"/>
    </xf>
    <xf numFmtId="6" fontId="0" fillId="0" borderId="16" xfId="0" applyNumberFormat="1" applyBorder="1" applyAlignment="1">
      <alignment horizontal="center"/>
    </xf>
    <xf numFmtId="0" fontId="0" fillId="0" borderId="2" xfId="0" applyFill="1" applyBorder="1" applyAlignment="1">
      <alignment horizontal="left"/>
    </xf>
    <xf numFmtId="6" fontId="8" fillId="0" borderId="0" xfId="0" applyNumberFormat="1" applyFont="1"/>
    <xf numFmtId="0" fontId="8" fillId="0" borderId="0" xfId="0" applyFont="1" applyAlignment="1">
      <alignment horizontal="center"/>
    </xf>
    <xf numFmtId="6" fontId="4" fillId="3" borderId="15" xfId="0" applyNumberFormat="1" applyFont="1" applyFill="1" applyBorder="1" applyAlignment="1">
      <alignment horizontal="center" wrapText="1"/>
    </xf>
    <xf numFmtId="0" fontId="6" fillId="5" borderId="0" xfId="0" applyFont="1" applyFill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6" fontId="0" fillId="0" borderId="5" xfId="0" applyNumberFormat="1" applyFill="1" applyBorder="1" applyAlignment="1">
      <alignment horizontal="center" wrapText="1"/>
    </xf>
    <xf numFmtId="6" fontId="0" fillId="0" borderId="5" xfId="0" applyNumberFormat="1" applyFill="1" applyBorder="1" applyAlignment="1">
      <alignment horizontal="center"/>
    </xf>
    <xf numFmtId="6" fontId="9" fillId="0" borderId="0" xfId="0" applyNumberFormat="1" applyFont="1" applyFill="1" applyBorder="1" applyAlignment="1">
      <alignment horizontal="center" wrapText="1"/>
    </xf>
    <xf numFmtId="6" fontId="0" fillId="0" borderId="0" xfId="1" applyNumberFormat="1" applyFont="1" applyFill="1" applyBorder="1" applyAlignment="1">
      <alignment horizontal="center"/>
    </xf>
    <xf numFmtId="0" fontId="4" fillId="3" borderId="0" xfId="0" applyFont="1" applyFill="1" applyAlignment="1">
      <alignment horizontal="right" wrapText="1"/>
    </xf>
    <xf numFmtId="6" fontId="9" fillId="0" borderId="2" xfId="1" applyNumberFormat="1" applyFont="1" applyBorder="1" applyAlignment="1">
      <alignment horizontal="center"/>
    </xf>
    <xf numFmtId="0" fontId="10" fillId="0" borderId="0" xfId="0" applyFont="1" applyAlignment="1">
      <alignment horizontal="right" wrapText="1"/>
    </xf>
    <xf numFmtId="6" fontId="4" fillId="0" borderId="3" xfId="0" applyNumberFormat="1" applyFont="1" applyBorder="1" applyAlignment="1">
      <alignment horizontal="center"/>
    </xf>
    <xf numFmtId="6" fontId="2" fillId="0" borderId="0" xfId="0" applyNumberFormat="1" applyFont="1" applyAlignment="1">
      <alignment horizontal="center"/>
    </xf>
    <xf numFmtId="6" fontId="3" fillId="0" borderId="0" xfId="0" applyNumberFormat="1" applyFont="1" applyAlignment="1">
      <alignment horizontal="left"/>
    </xf>
    <xf numFmtId="9" fontId="4" fillId="0" borderId="2" xfId="2" applyFont="1" applyBorder="1" applyAlignment="1">
      <alignment horizontal="center" wrapText="1"/>
    </xf>
    <xf numFmtId="6" fontId="4" fillId="0" borderId="2" xfId="0" applyNumberFormat="1" applyFont="1" applyBorder="1" applyAlignment="1">
      <alignment horizontal="center" wrapText="1"/>
    </xf>
    <xf numFmtId="6" fontId="0" fillId="0" borderId="2" xfId="0" applyNumberFormat="1" applyBorder="1" applyAlignment="1">
      <alignment horizontal="center" wrapText="1"/>
    </xf>
    <xf numFmtId="6" fontId="4" fillId="3" borderId="2" xfId="0" applyNumberFormat="1" applyFont="1" applyFill="1" applyBorder="1" applyAlignment="1">
      <alignment horizontal="center" wrapText="1"/>
    </xf>
    <xf numFmtId="6" fontId="0" fillId="0" borderId="2" xfId="0" applyNumberFormat="1" applyBorder="1" applyAlignment="1">
      <alignment horizontal="center" wrapText="1"/>
    </xf>
    <xf numFmtId="0" fontId="0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wrapText="1"/>
    </xf>
    <xf numFmtId="0" fontId="0" fillId="3" borderId="2" xfId="0" applyFill="1" applyBorder="1"/>
    <xf numFmtId="6" fontId="0" fillId="3" borderId="2" xfId="0" applyNumberFormat="1" applyFill="1" applyBorder="1" applyAlignment="1">
      <alignment horizontal="center" wrapText="1"/>
    </xf>
    <xf numFmtId="8" fontId="0" fillId="0" borderId="0" xfId="0" applyNumberFormat="1" applyBorder="1" applyAlignment="1">
      <alignment horizontal="center"/>
    </xf>
    <xf numFmtId="0" fontId="15" fillId="0" borderId="2" xfId="0" applyFont="1" applyBorder="1" applyAlignment="1">
      <alignment horizontal="left"/>
    </xf>
    <xf numFmtId="6" fontId="15" fillId="0" borderId="2" xfId="0" applyNumberFormat="1" applyFont="1" applyFill="1" applyBorder="1" applyAlignment="1">
      <alignment horizontal="center"/>
    </xf>
    <xf numFmtId="0" fontId="15" fillId="0" borderId="0" xfId="0" applyFont="1" applyAlignment="1">
      <alignment horizontal="left" wrapText="1"/>
    </xf>
    <xf numFmtId="0" fontId="15" fillId="0" borderId="0" xfId="0" applyFont="1" applyAlignment="1">
      <alignment horizontal="left"/>
    </xf>
    <xf numFmtId="6" fontId="15" fillId="0" borderId="14" xfId="0" applyNumberFormat="1" applyFont="1" applyFill="1" applyBorder="1" applyAlignment="1">
      <alignment horizontal="center"/>
    </xf>
    <xf numFmtId="6" fontId="15" fillId="0" borderId="14" xfId="0" applyNumberFormat="1" applyFont="1" applyFill="1" applyBorder="1" applyAlignment="1">
      <alignment horizontal="center" wrapText="1"/>
    </xf>
    <xf numFmtId="6" fontId="15" fillId="0" borderId="2" xfId="0" applyNumberFormat="1" applyFont="1" applyFill="1" applyBorder="1" applyAlignment="1">
      <alignment horizontal="left"/>
    </xf>
    <xf numFmtId="6" fontId="15" fillId="0" borderId="14" xfId="0" applyNumberFormat="1" applyFont="1" applyBorder="1" applyAlignment="1">
      <alignment horizontal="center"/>
    </xf>
    <xf numFmtId="0" fontId="15" fillId="0" borderId="2" xfId="0" applyFont="1" applyFill="1" applyBorder="1" applyAlignment="1">
      <alignment horizontal="left"/>
    </xf>
    <xf numFmtId="0" fontId="15" fillId="0" borderId="2" xfId="0" applyFont="1" applyBorder="1"/>
    <xf numFmtId="6" fontId="15" fillId="0" borderId="2" xfId="0" applyNumberFormat="1" applyFont="1" applyBorder="1" applyAlignment="1">
      <alignment horizontal="center" wrapText="1"/>
    </xf>
    <xf numFmtId="6" fontId="15" fillId="0" borderId="2" xfId="0" applyNumberFormat="1" applyFont="1" applyBorder="1" applyAlignment="1">
      <alignment horizontal="center"/>
    </xf>
    <xf numFmtId="6" fontId="15" fillId="0" borderId="3" xfId="0" applyNumberFormat="1" applyFont="1" applyBorder="1" applyAlignment="1">
      <alignment horizontal="center"/>
    </xf>
    <xf numFmtId="6" fontId="15" fillId="0" borderId="0" xfId="0" applyNumberFormat="1" applyFont="1" applyBorder="1" applyAlignment="1">
      <alignment horizontal="center"/>
    </xf>
    <xf numFmtId="0" fontId="15" fillId="0" borderId="0" xfId="0" applyFont="1"/>
    <xf numFmtId="6" fontId="15" fillId="0" borderId="0" xfId="0" applyNumberFormat="1" applyFont="1" applyFill="1" applyAlignment="1">
      <alignment horizontal="center"/>
    </xf>
    <xf numFmtId="6" fontId="15" fillId="0" borderId="0" xfId="0" applyNumberFormat="1" applyFont="1" applyBorder="1" applyAlignment="1">
      <alignment horizontal="center" wrapText="1"/>
    </xf>
    <xf numFmtId="6" fontId="15" fillId="0" borderId="0" xfId="0" applyNumberFormat="1" applyFont="1" applyFill="1" applyBorder="1" applyAlignment="1">
      <alignment horizontal="left"/>
    </xf>
    <xf numFmtId="8" fontId="15" fillId="0" borderId="2" xfId="0" applyNumberFormat="1" applyFont="1" applyBorder="1" applyAlignment="1">
      <alignment horizontal="center"/>
    </xf>
    <xf numFmtId="6" fontId="0" fillId="0" borderId="2" xfId="0" applyNumberFormat="1" applyBorder="1" applyAlignment="1">
      <alignment horizontal="center" wrapText="1"/>
    </xf>
    <xf numFmtId="6" fontId="4" fillId="3" borderId="2" xfId="0" applyNumberFormat="1" applyFont="1" applyFill="1" applyBorder="1" applyAlignment="1">
      <alignment horizontal="center" wrapText="1"/>
    </xf>
    <xf numFmtId="0" fontId="10" fillId="0" borderId="0" xfId="0" applyFont="1"/>
    <xf numFmtId="6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4" fontId="10" fillId="0" borderId="0" xfId="0" applyNumberFormat="1" applyFont="1" applyAlignment="1">
      <alignment horizontal="center"/>
    </xf>
    <xf numFmtId="6" fontId="10" fillId="0" borderId="3" xfId="0" applyNumberFormat="1" applyFont="1" applyBorder="1" applyAlignment="1">
      <alignment horizontal="center"/>
    </xf>
    <xf numFmtId="6" fontId="8" fillId="0" borderId="0" xfId="0" applyNumberFormat="1" applyFont="1" applyBorder="1" applyAlignment="1">
      <alignment horizontal="center"/>
    </xf>
    <xf numFmtId="6" fontId="8" fillId="0" borderId="0" xfId="0" applyNumberFormat="1" applyFont="1" applyAlignment="1">
      <alignment horizontal="left"/>
    </xf>
    <xf numFmtId="6" fontId="0" fillId="6" borderId="0" xfId="0" applyNumberFormat="1" applyFont="1" applyFill="1" applyAlignment="1">
      <alignment horizontal="center"/>
    </xf>
    <xf numFmtId="6" fontId="10" fillId="0" borderId="0" xfId="0" applyNumberFormat="1" applyFont="1" applyAlignment="1">
      <alignment horizontal="right"/>
    </xf>
    <xf numFmtId="0" fontId="10" fillId="0" borderId="0" xfId="0" applyFont="1" applyBorder="1" applyAlignment="1">
      <alignment horizontal="center" wrapText="1"/>
    </xf>
    <xf numFmtId="0" fontId="7" fillId="0" borderId="0" xfId="0" applyFont="1" applyBorder="1" applyAlignment="1">
      <alignment horizontal="center" wrapText="1"/>
    </xf>
    <xf numFmtId="0" fontId="0" fillId="0" borderId="0" xfId="0" applyFill="1" applyBorder="1"/>
    <xf numFmtId="0" fontId="0" fillId="6" borderId="0" xfId="0" applyFill="1"/>
    <xf numFmtId="6" fontId="0" fillId="6" borderId="0" xfId="0" applyNumberFormat="1" applyFill="1" applyAlignment="1">
      <alignment horizontal="center"/>
    </xf>
    <xf numFmtId="0" fontId="10" fillId="0" borderId="0" xfId="0" applyFont="1" applyAlignment="1">
      <alignment horizontal="left"/>
    </xf>
    <xf numFmtId="6" fontId="16" fillId="0" borderId="0" xfId="0" applyNumberFormat="1" applyFont="1" applyFill="1" applyAlignment="1">
      <alignment horizontal="center"/>
    </xf>
    <xf numFmtId="6" fontId="6" fillId="0" borderId="0" xfId="0" applyNumberFormat="1" applyFont="1" applyAlignment="1">
      <alignment horizontal="left"/>
    </xf>
    <xf numFmtId="6" fontId="0" fillId="7" borderId="0" xfId="0" applyNumberFormat="1" applyFill="1" applyAlignment="1">
      <alignment horizontal="center"/>
    </xf>
    <xf numFmtId="6" fontId="0" fillId="7" borderId="0" xfId="0" applyNumberFormat="1" applyFont="1" applyFill="1" applyAlignment="1">
      <alignment horizontal="center"/>
    </xf>
    <xf numFmtId="6" fontId="10" fillId="7" borderId="0" xfId="0" applyNumberFormat="1" applyFont="1" applyFill="1" applyAlignment="1">
      <alignment horizontal="right"/>
    </xf>
    <xf numFmtId="6" fontId="7" fillId="7" borderId="0" xfId="0" applyNumberFormat="1" applyFont="1" applyFill="1" applyAlignment="1">
      <alignment horizontal="right"/>
    </xf>
    <xf numFmtId="6" fontId="0" fillId="5" borderId="0" xfId="0" applyNumberFormat="1" applyFill="1" applyAlignment="1">
      <alignment horizontal="center"/>
    </xf>
    <xf numFmtId="6" fontId="10" fillId="5" borderId="0" xfId="0" applyNumberFormat="1" applyFont="1" applyFill="1" applyAlignment="1">
      <alignment horizontal="right"/>
    </xf>
    <xf numFmtId="6" fontId="0" fillId="5" borderId="0" xfId="0" applyNumberFormat="1" applyFont="1" applyFill="1" applyAlignment="1">
      <alignment horizontal="center"/>
    </xf>
    <xf numFmtId="6" fontId="0" fillId="8" borderId="0" xfId="0" applyNumberFormat="1" applyFont="1" applyFill="1" applyAlignment="1">
      <alignment horizontal="center"/>
    </xf>
    <xf numFmtId="6" fontId="0" fillId="8" borderId="0" xfId="0" applyNumberFormat="1" applyFill="1" applyAlignment="1">
      <alignment horizontal="center"/>
    </xf>
    <xf numFmtId="6" fontId="2" fillId="8" borderId="0" xfId="0" applyNumberFormat="1" applyFont="1" applyFill="1" applyAlignment="1">
      <alignment horizontal="center"/>
    </xf>
    <xf numFmtId="0" fontId="0" fillId="8" borderId="0" xfId="0" applyFill="1"/>
    <xf numFmtId="0" fontId="0" fillId="8" borderId="0" xfId="0" applyFont="1" applyFill="1"/>
    <xf numFmtId="0" fontId="10" fillId="8" borderId="0" xfId="0" applyFont="1" applyFill="1" applyBorder="1" applyAlignment="1">
      <alignment horizontal="center" wrapText="1"/>
    </xf>
    <xf numFmtId="0" fontId="0" fillId="8" borderId="0" xfId="0" applyFont="1" applyFill="1" applyAlignment="1">
      <alignment horizontal="center"/>
    </xf>
    <xf numFmtId="6" fontId="0" fillId="8" borderId="3" xfId="0" applyNumberFormat="1" applyFont="1" applyFill="1" applyBorder="1" applyAlignment="1">
      <alignment horizontal="center"/>
    </xf>
    <xf numFmtId="0" fontId="0" fillId="8" borderId="0" xfId="0" applyFill="1" applyAlignment="1">
      <alignment horizontal="center"/>
    </xf>
    <xf numFmtId="0" fontId="0" fillId="8" borderId="21" xfId="0" applyFont="1" applyFill="1" applyBorder="1"/>
    <xf numFmtId="0" fontId="0" fillId="8" borderId="21" xfId="0" applyFill="1" applyBorder="1" applyAlignment="1">
      <alignment horizontal="center"/>
    </xf>
    <xf numFmtId="0" fontId="0" fillId="8" borderId="21" xfId="0" applyFill="1" applyBorder="1"/>
    <xf numFmtId="6" fontId="4" fillId="3" borderId="0" xfId="0" applyNumberFormat="1" applyFont="1" applyFill="1" applyAlignment="1">
      <alignment horizontal="left"/>
    </xf>
    <xf numFmtId="0" fontId="11" fillId="0" borderId="0" xfId="0" applyFont="1" applyAlignment="1">
      <alignment horizontal="center"/>
    </xf>
    <xf numFmtId="0" fontId="11" fillId="0" borderId="3" xfId="0" applyFont="1" applyBorder="1" applyAlignment="1">
      <alignment horizontal="right"/>
    </xf>
    <xf numFmtId="164" fontId="8" fillId="0" borderId="0" xfId="0" applyNumberFormat="1" applyFont="1" applyAlignment="1">
      <alignment horizontal="center"/>
    </xf>
    <xf numFmtId="6" fontId="10" fillId="0" borderId="0" xfId="0" applyNumberFormat="1" applyFont="1" applyFill="1" applyAlignment="1">
      <alignment horizontal="center"/>
    </xf>
    <xf numFmtId="164" fontId="10" fillId="0" borderId="0" xfId="0" applyNumberFormat="1" applyFont="1"/>
    <xf numFmtId="0" fontId="8" fillId="0" borderId="3" xfId="0" applyFont="1" applyBorder="1" applyAlignment="1">
      <alignment horizontal="center"/>
    </xf>
    <xf numFmtId="0" fontId="8" fillId="0" borderId="22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10" fillId="0" borderId="23" xfId="0" applyFont="1" applyBorder="1" applyAlignment="1">
      <alignment horizontal="left"/>
    </xf>
    <xf numFmtId="6" fontId="10" fillId="0" borderId="24" xfId="0" applyNumberFormat="1" applyFont="1" applyFill="1" applyBorder="1" applyAlignment="1">
      <alignment horizontal="center"/>
    </xf>
    <xf numFmtId="6" fontId="11" fillId="0" borderId="0" xfId="0" applyNumberFormat="1" applyFont="1" applyAlignment="1">
      <alignment horizontal="center"/>
    </xf>
    <xf numFmtId="6" fontId="0" fillId="0" borderId="3" xfId="0" applyNumberFormat="1" applyBorder="1"/>
    <xf numFmtId="6" fontId="8" fillId="0" borderId="0" xfId="0" applyNumberFormat="1" applyFont="1" applyFill="1" applyAlignment="1">
      <alignment horizontal="center" wrapText="1"/>
    </xf>
    <xf numFmtId="0" fontId="4" fillId="3" borderId="0" xfId="0" applyFont="1" applyFill="1" applyAlignment="1">
      <alignment horizontal="center" wrapText="1"/>
    </xf>
    <xf numFmtId="0" fontId="4" fillId="0" borderId="7" xfId="0" applyFont="1" applyBorder="1" applyAlignment="1">
      <alignment horizontal="right"/>
    </xf>
    <xf numFmtId="6" fontId="4" fillId="0" borderId="8" xfId="0" applyNumberFormat="1" applyFont="1" applyBorder="1" applyAlignment="1">
      <alignment horizontal="center"/>
    </xf>
    <xf numFmtId="6" fontId="4" fillId="0" borderId="10" xfId="0" applyNumberFormat="1" applyFont="1" applyBorder="1" applyAlignment="1">
      <alignment horizontal="center"/>
    </xf>
    <xf numFmtId="0" fontId="4" fillId="0" borderId="11" xfId="0" applyFont="1" applyBorder="1" applyAlignment="1">
      <alignment horizontal="right"/>
    </xf>
    <xf numFmtId="0" fontId="17" fillId="0" borderId="11" xfId="0" applyFont="1" applyBorder="1"/>
    <xf numFmtId="6" fontId="17" fillId="0" borderId="10" xfId="0" applyNumberFormat="1" applyFont="1" applyBorder="1" applyAlignment="1">
      <alignment horizontal="center"/>
    </xf>
    <xf numFmtId="0" fontId="6" fillId="7" borderId="0" xfId="0" applyFont="1" applyFill="1" applyAlignment="1">
      <alignment horizontal="center" wrapText="1"/>
    </xf>
    <xf numFmtId="0" fontId="6" fillId="4" borderId="0" xfId="0" applyFont="1" applyFill="1" applyAlignment="1">
      <alignment horizontal="center" wrapText="1"/>
    </xf>
    <xf numFmtId="6" fontId="0" fillId="4" borderId="2" xfId="0" applyNumberFormat="1" applyFill="1" applyBorder="1" applyAlignment="1">
      <alignment horizontal="center"/>
    </xf>
    <xf numFmtId="6" fontId="15" fillId="4" borderId="2" xfId="0" applyNumberFormat="1" applyFont="1" applyFill="1" applyBorder="1" applyAlignment="1">
      <alignment horizontal="center"/>
    </xf>
    <xf numFmtId="0" fontId="0" fillId="2" borderId="0" xfId="0" applyFill="1" applyAlignment="1">
      <alignment wrapText="1"/>
    </xf>
    <xf numFmtId="0" fontId="0" fillId="0" borderId="0" xfId="0" applyBorder="1" applyAlignment="1">
      <alignment horizontal="left"/>
    </xf>
    <xf numFmtId="0" fontId="4" fillId="7" borderId="1" xfId="0" applyFont="1" applyFill="1" applyBorder="1" applyAlignment="1">
      <alignment horizontal="center"/>
    </xf>
    <xf numFmtId="0" fontId="18" fillId="0" borderId="0" xfId="0" applyFont="1" applyFill="1" applyAlignment="1">
      <alignment horizontal="right"/>
    </xf>
    <xf numFmtId="0" fontId="18" fillId="0" borderId="0" xfId="0" applyFont="1" applyFill="1"/>
    <xf numFmtId="6" fontId="18" fillId="0" borderId="0" xfId="0" applyNumberFormat="1" applyFont="1" applyFill="1" applyAlignment="1">
      <alignment horizontal="center"/>
    </xf>
    <xf numFmtId="6" fontId="18" fillId="0" borderId="0" xfId="0" applyNumberFormat="1" applyFont="1" applyFill="1" applyBorder="1" applyAlignment="1">
      <alignment horizontal="center" wrapText="1"/>
    </xf>
    <xf numFmtId="6" fontId="19" fillId="0" borderId="0" xfId="0" applyNumberFormat="1" applyFont="1" applyFill="1" applyBorder="1" applyAlignment="1">
      <alignment horizontal="center" wrapText="1"/>
    </xf>
    <xf numFmtId="6" fontId="19" fillId="0" borderId="0" xfId="0" applyNumberFormat="1" applyFont="1" applyFill="1" applyAlignment="1">
      <alignment horizontal="center"/>
    </xf>
    <xf numFmtId="0" fontId="19" fillId="0" borderId="0" xfId="0" applyFont="1" applyFill="1"/>
    <xf numFmtId="0" fontId="20" fillId="0" borderId="0" xfId="0" applyFont="1" applyFill="1"/>
    <xf numFmtId="0" fontId="21" fillId="0" borderId="0" xfId="0" applyFont="1" applyFill="1"/>
    <xf numFmtId="6" fontId="21" fillId="0" borderId="0" xfId="0" applyNumberFormat="1" applyFont="1" applyFill="1" applyAlignment="1">
      <alignment horizontal="center"/>
    </xf>
    <xf numFmtId="6" fontId="21" fillId="0" borderId="0" xfId="0" applyNumberFormat="1" applyFont="1" applyFill="1" applyBorder="1" applyAlignment="1">
      <alignment horizontal="center" wrapText="1"/>
    </xf>
    <xf numFmtId="6" fontId="20" fillId="0" borderId="0" xfId="0" applyNumberFormat="1" applyFont="1" applyFill="1" applyBorder="1" applyAlignment="1">
      <alignment horizontal="center" wrapText="1"/>
    </xf>
    <xf numFmtId="6" fontId="20" fillId="0" borderId="0" xfId="0" applyNumberFormat="1" applyFont="1" applyFill="1" applyAlignment="1">
      <alignment horizontal="center"/>
    </xf>
    <xf numFmtId="0" fontId="21" fillId="0" borderId="0" xfId="0" applyFont="1" applyFill="1" applyAlignment="1">
      <alignment horizontal="left"/>
    </xf>
    <xf numFmtId="6" fontId="21" fillId="0" borderId="0" xfId="0" applyNumberFormat="1" applyFont="1" applyFill="1" applyAlignment="1">
      <alignment horizontal="left"/>
    </xf>
    <xf numFmtId="6" fontId="21" fillId="0" borderId="0" xfId="0" applyNumberFormat="1" applyFont="1" applyFill="1" applyBorder="1" applyAlignment="1">
      <alignment horizontal="left" wrapText="1"/>
    </xf>
    <xf numFmtId="6" fontId="20" fillId="0" borderId="0" xfId="0" applyNumberFormat="1" applyFont="1" applyFill="1" applyBorder="1" applyAlignment="1">
      <alignment horizontal="left" wrapText="1"/>
    </xf>
    <xf numFmtId="6" fontId="20" fillId="0" borderId="0" xfId="0" applyNumberFormat="1" applyFont="1" applyFill="1" applyAlignment="1">
      <alignment horizontal="left"/>
    </xf>
    <xf numFmtId="0" fontId="20" fillId="0" borderId="0" xfId="0" applyFont="1" applyFill="1" applyAlignment="1">
      <alignment horizontal="left"/>
    </xf>
    <xf numFmtId="6" fontId="0" fillId="0" borderId="2" xfId="0" applyNumberFormat="1" applyBorder="1" applyAlignment="1">
      <alignment horizontal="center" wrapText="1"/>
    </xf>
    <xf numFmtId="6" fontId="8" fillId="0" borderId="2" xfId="0" applyNumberFormat="1" applyFont="1" applyBorder="1" applyAlignment="1">
      <alignment horizontal="center" wrapText="1"/>
    </xf>
    <xf numFmtId="8" fontId="3" fillId="0" borderId="2" xfId="0" applyNumberFormat="1" applyFont="1" applyBorder="1" applyAlignment="1">
      <alignment horizontal="center" wrapText="1"/>
    </xf>
    <xf numFmtId="8" fontId="0" fillId="0" borderId="0" xfId="0" applyNumberFormat="1" applyAlignment="1">
      <alignment horizontal="center" wrapText="1"/>
    </xf>
    <xf numFmtId="8" fontId="0" fillId="0" borderId="0" xfId="0" applyNumberFormat="1"/>
    <xf numFmtId="8" fontId="4" fillId="3" borderId="0" xfId="0" applyNumberFormat="1" applyFont="1" applyFill="1" applyBorder="1" applyAlignment="1">
      <alignment horizontal="center" wrapText="1"/>
    </xf>
    <xf numFmtId="8" fontId="8" fillId="0" borderId="0" xfId="0" applyNumberFormat="1" applyFont="1" applyFill="1" applyBorder="1" applyAlignment="1">
      <alignment horizontal="center" wrapText="1"/>
    </xf>
    <xf numFmtId="8" fontId="0" fillId="0" borderId="0" xfId="0" applyNumberFormat="1" applyBorder="1" applyAlignment="1">
      <alignment horizontal="center" wrapText="1"/>
    </xf>
    <xf numFmtId="8" fontId="9" fillId="0" borderId="0" xfId="0" applyNumberFormat="1" applyFont="1" applyBorder="1" applyAlignment="1">
      <alignment horizontal="center"/>
    </xf>
    <xf numFmtId="8" fontId="4" fillId="0" borderId="0" xfId="0" applyNumberFormat="1" applyFont="1" applyFill="1" applyBorder="1" applyAlignment="1">
      <alignment horizontal="center"/>
    </xf>
    <xf numFmtId="8" fontId="0" fillId="0" borderId="0" xfId="0" applyNumberFormat="1" applyBorder="1" applyAlignment="1">
      <alignment horizontal="left"/>
    </xf>
    <xf numFmtId="8" fontId="8" fillId="0" borderId="0" xfId="0" applyNumberFormat="1" applyFont="1" applyFill="1"/>
    <xf numFmtId="8" fontId="0" fillId="0" borderId="0" xfId="1" applyNumberFormat="1" applyFont="1" applyBorder="1" applyAlignment="1">
      <alignment horizontal="center"/>
    </xf>
    <xf numFmtId="8" fontId="0" fillId="0" borderId="0" xfId="0" applyNumberFormat="1" applyFill="1" applyBorder="1" applyAlignment="1">
      <alignment horizontal="center"/>
    </xf>
    <xf numFmtId="8" fontId="9" fillId="0" borderId="0" xfId="0" applyNumberFormat="1" applyFont="1" applyFill="1" applyBorder="1" applyAlignment="1">
      <alignment horizontal="center" wrapText="1"/>
    </xf>
    <xf numFmtId="8" fontId="0" fillId="0" borderId="0" xfId="1" applyNumberFormat="1" applyFont="1" applyFill="1" applyBorder="1" applyAlignment="1">
      <alignment horizontal="center"/>
    </xf>
    <xf numFmtId="8" fontId="19" fillId="0" borderId="0" xfId="0" applyNumberFormat="1" applyFont="1" applyFill="1" applyBorder="1" applyAlignment="1">
      <alignment horizontal="center" wrapText="1"/>
    </xf>
    <xf numFmtId="8" fontId="20" fillId="0" borderId="0" xfId="0" applyNumberFormat="1" applyFont="1" applyFill="1" applyBorder="1" applyAlignment="1">
      <alignment horizontal="center" wrapText="1"/>
    </xf>
    <xf numFmtId="8" fontId="20" fillId="0" borderId="0" xfId="0" applyNumberFormat="1" applyFont="1" applyFill="1" applyBorder="1" applyAlignment="1">
      <alignment horizontal="left" wrapText="1"/>
    </xf>
    <xf numFmtId="8" fontId="3" fillId="0" borderId="0" xfId="0" applyNumberFormat="1" applyFont="1" applyAlignment="1">
      <alignment horizontal="center"/>
    </xf>
    <xf numFmtId="8" fontId="4" fillId="0" borderId="0" xfId="0" applyNumberFormat="1" applyFont="1" applyAlignment="1">
      <alignment horizontal="center" wrapText="1"/>
    </xf>
    <xf numFmtId="8" fontId="6" fillId="0" borderId="0" xfId="0" applyNumberFormat="1" applyFont="1" applyAlignment="1">
      <alignment horizontal="center"/>
    </xf>
    <xf numFmtId="8" fontId="4" fillId="0" borderId="0" xfId="0" applyNumberFormat="1" applyFont="1" applyAlignment="1">
      <alignment horizontal="center"/>
    </xf>
    <xf numFmtId="8" fontId="4" fillId="0" borderId="0" xfId="0" applyNumberFormat="1" applyFont="1" applyBorder="1" applyAlignment="1">
      <alignment horizontal="center"/>
    </xf>
    <xf numFmtId="8" fontId="11" fillId="0" borderId="0" xfId="0" applyNumberFormat="1" applyFont="1" applyAlignment="1">
      <alignment horizontal="center"/>
    </xf>
    <xf numFmtId="8" fontId="4" fillId="3" borderId="0" xfId="0" applyNumberFormat="1" applyFont="1" applyFill="1" applyAlignment="1">
      <alignment horizontal="center"/>
    </xf>
    <xf numFmtId="8" fontId="8" fillId="0" borderId="0" xfId="2" applyNumberFormat="1" applyFont="1" applyBorder="1" applyAlignment="1">
      <alignment horizontal="center" wrapText="1"/>
    </xf>
    <xf numFmtId="8" fontId="0" fillId="0" borderId="3" xfId="0" applyNumberFormat="1" applyBorder="1" applyAlignment="1">
      <alignment horizontal="center"/>
    </xf>
    <xf numFmtId="8" fontId="8" fillId="0" borderId="0" xfId="0" applyNumberFormat="1" applyFont="1" applyBorder="1" applyAlignment="1">
      <alignment horizontal="center" wrapText="1"/>
    </xf>
    <xf numFmtId="8" fontId="8" fillId="0" borderId="0" xfId="0" applyNumberFormat="1" applyFont="1" applyBorder="1" applyAlignment="1">
      <alignment wrapText="1"/>
    </xf>
    <xf numFmtId="8" fontId="8" fillId="0" borderId="0" xfId="0" applyNumberFormat="1" applyFont="1" applyAlignment="1">
      <alignment wrapText="1"/>
    </xf>
    <xf numFmtId="0" fontId="5" fillId="0" borderId="0" xfId="0" applyFont="1" applyAlignment="1">
      <alignment horizontal="center"/>
    </xf>
    <xf numFmtId="8" fontId="0" fillId="0" borderId="21" xfId="0" applyNumberFormat="1" applyBorder="1" applyAlignment="1">
      <alignment horizontal="center"/>
    </xf>
    <xf numFmtId="0" fontId="3" fillId="0" borderId="2" xfId="0" applyFont="1" applyBorder="1" applyAlignment="1">
      <alignment horizontal="left"/>
    </xf>
    <xf numFmtId="6" fontId="0" fillId="0" borderId="2" xfId="0" applyNumberFormat="1" applyFont="1" applyFill="1" applyBorder="1" applyAlignment="1">
      <alignment horizontal="center"/>
    </xf>
    <xf numFmtId="0" fontId="0" fillId="0" borderId="2" xfId="0" applyFont="1" applyBorder="1" applyAlignment="1">
      <alignment horizontal="left"/>
    </xf>
    <xf numFmtId="0" fontId="4" fillId="0" borderId="0" xfId="0" applyFont="1" applyFill="1" applyAlignment="1">
      <alignment horizontal="right"/>
    </xf>
    <xf numFmtId="0" fontId="4" fillId="0" borderId="0" xfId="0" applyFont="1" applyFill="1"/>
    <xf numFmtId="6" fontId="4" fillId="0" borderId="0" xfId="0" applyNumberFormat="1" applyFont="1" applyFill="1" applyBorder="1" applyAlignment="1">
      <alignment horizontal="center" wrapText="1"/>
    </xf>
    <xf numFmtId="0" fontId="8" fillId="0" borderId="7" xfId="0" applyFont="1" applyBorder="1" applyAlignment="1">
      <alignment horizontal="center" wrapText="1"/>
    </xf>
    <xf numFmtId="0" fontId="8" fillId="0" borderId="12" xfId="0" applyFont="1" applyBorder="1" applyAlignment="1">
      <alignment horizontal="center" wrapText="1"/>
    </xf>
    <xf numFmtId="0" fontId="8" fillId="0" borderId="8" xfId="0" applyFont="1" applyBorder="1" applyAlignment="1">
      <alignment horizontal="center" wrapText="1"/>
    </xf>
    <xf numFmtId="0" fontId="8" fillId="0" borderId="9" xfId="0" applyFont="1" applyBorder="1" applyAlignment="1">
      <alignment horizontal="center" wrapText="1"/>
    </xf>
    <xf numFmtId="0" fontId="8" fillId="0" borderId="0" xfId="0" applyFont="1" applyBorder="1" applyAlignment="1">
      <alignment horizontal="center" wrapText="1"/>
    </xf>
    <xf numFmtId="0" fontId="8" fillId="0" borderId="13" xfId="0" applyFont="1" applyBorder="1" applyAlignment="1">
      <alignment horizontal="center" wrapText="1"/>
    </xf>
    <xf numFmtId="0" fontId="8" fillId="0" borderId="11" xfId="0" applyFont="1" applyBorder="1" applyAlignment="1">
      <alignment horizontal="center" wrapText="1"/>
    </xf>
    <xf numFmtId="0" fontId="8" fillId="0" borderId="3" xfId="0" applyFont="1" applyBorder="1" applyAlignment="1">
      <alignment horizontal="center" wrapText="1"/>
    </xf>
    <xf numFmtId="0" fontId="8" fillId="0" borderId="10" xfId="0" applyFont="1" applyBorder="1" applyAlignment="1">
      <alignment horizontal="center" wrapText="1"/>
    </xf>
    <xf numFmtId="6" fontId="8" fillId="4" borderId="2" xfId="0" applyNumberFormat="1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right"/>
    </xf>
    <xf numFmtId="0" fontId="11" fillId="3" borderId="1" xfId="0" applyFont="1" applyFill="1" applyBorder="1" applyAlignment="1">
      <alignment horizontal="right"/>
    </xf>
    <xf numFmtId="0" fontId="4" fillId="3" borderId="18" xfId="0" applyFont="1" applyFill="1" applyBorder="1" applyAlignment="1">
      <alignment horizontal="center"/>
    </xf>
    <xf numFmtId="0" fontId="4" fillId="3" borderId="19" xfId="0" applyFont="1" applyFill="1" applyBorder="1" applyAlignment="1">
      <alignment horizontal="center"/>
    </xf>
    <xf numFmtId="6" fontId="4" fillId="3" borderId="0" xfId="0" applyNumberFormat="1" applyFont="1" applyFill="1" applyBorder="1" applyAlignment="1">
      <alignment horizontal="center"/>
    </xf>
    <xf numFmtId="6" fontId="0" fillId="0" borderId="2" xfId="0" applyNumberFormat="1" applyBorder="1" applyAlignment="1">
      <alignment horizontal="center" wrapText="1"/>
    </xf>
    <xf numFmtId="6" fontId="0" fillId="0" borderId="6" xfId="0" applyNumberFormat="1" applyBorder="1" applyAlignment="1">
      <alignment horizontal="center" wrapText="1"/>
    </xf>
    <xf numFmtId="6" fontId="0" fillId="0" borderId="20" xfId="0" applyNumberFormat="1" applyBorder="1" applyAlignment="1">
      <alignment horizontal="center" wrapText="1"/>
    </xf>
    <xf numFmtId="6" fontId="0" fillId="0" borderId="6" xfId="1" applyNumberFormat="1" applyFont="1" applyBorder="1" applyAlignment="1">
      <alignment horizontal="center" wrapText="1"/>
    </xf>
    <xf numFmtId="6" fontId="0" fillId="0" borderId="20" xfId="1" applyNumberFormat="1" applyFont="1" applyBorder="1" applyAlignment="1">
      <alignment horizontal="center" wrapText="1"/>
    </xf>
    <xf numFmtId="6" fontId="4" fillId="3" borderId="2" xfId="0" applyNumberFormat="1" applyFont="1" applyFill="1" applyBorder="1" applyAlignment="1">
      <alignment horizontal="center" wrapText="1"/>
    </xf>
    <xf numFmtId="13" fontId="11" fillId="0" borderId="0" xfId="0" applyNumberFormat="1" applyFont="1" applyAlignment="1">
      <alignment horizontal="center" wrapText="1"/>
    </xf>
    <xf numFmtId="6" fontId="11" fillId="0" borderId="0" xfId="0" applyNumberFormat="1" applyFont="1" applyAlignment="1">
      <alignment horizontal="center" wrapText="1"/>
    </xf>
    <xf numFmtId="6" fontId="0" fillId="0" borderId="0" xfId="0" applyNumberFormat="1" applyFill="1" applyAlignment="1">
      <alignment horizontal="left" wrapText="1"/>
    </xf>
    <xf numFmtId="6" fontId="4" fillId="0" borderId="0" xfId="0" applyNumberFormat="1" applyFont="1" applyFill="1" applyBorder="1" applyAlignment="1">
      <alignment horizont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19"/>
  <sheetViews>
    <sheetView showWhiteSpace="0" topLeftCell="A6" zoomScale="88" zoomScaleNormal="108" workbookViewId="0">
      <selection activeCell="E37" sqref="E37"/>
    </sheetView>
  </sheetViews>
  <sheetFormatPr defaultRowHeight="15" x14ac:dyDescent="0.25"/>
  <cols>
    <col min="1" max="1" width="49" customWidth="1"/>
    <col min="2" max="2" width="15.7109375" customWidth="1"/>
    <col min="3" max="3" width="15.140625" style="22" customWidth="1"/>
    <col min="4" max="4" width="16.7109375" style="2" customWidth="1"/>
    <col min="5" max="5" width="18.5703125" style="3" customWidth="1"/>
    <col min="6" max="6" width="15.140625" style="3" customWidth="1"/>
    <col min="7" max="7" width="15.42578125" style="3" customWidth="1"/>
    <col min="8" max="8" width="20" style="3" customWidth="1"/>
    <col min="9" max="9" width="15.85546875" style="3" customWidth="1"/>
    <col min="10" max="10" width="13.7109375" style="3" bestFit="1" customWidth="1"/>
    <col min="13" max="13" width="11.85546875" bestFit="1" customWidth="1"/>
  </cols>
  <sheetData>
    <row r="1" spans="1:10" x14ac:dyDescent="0.25">
      <c r="A1" s="8" t="s">
        <v>30</v>
      </c>
    </row>
    <row r="3" spans="1:10" s="9" customFormat="1" ht="60.75" x14ac:dyDescent="0.3">
      <c r="A3" s="15" t="s">
        <v>50</v>
      </c>
      <c r="B3" s="16"/>
      <c r="C3" s="108" t="s">
        <v>138</v>
      </c>
      <c r="D3" s="17" t="s">
        <v>77</v>
      </c>
      <c r="E3" s="17" t="s">
        <v>78</v>
      </c>
      <c r="F3" s="17" t="s">
        <v>139</v>
      </c>
      <c r="G3" s="17"/>
      <c r="H3" s="18" t="s">
        <v>38</v>
      </c>
      <c r="I3" s="92" t="s">
        <v>112</v>
      </c>
      <c r="J3" s="17" t="s">
        <v>140</v>
      </c>
    </row>
    <row r="4" spans="1:10" ht="18.75" x14ac:dyDescent="0.3">
      <c r="A4" s="5"/>
      <c r="B4" s="21"/>
      <c r="E4" s="2"/>
      <c r="F4" s="2"/>
      <c r="G4" s="116"/>
      <c r="I4" s="2"/>
    </row>
    <row r="5" spans="1:10" ht="36" customHeight="1" thickBot="1" x14ac:dyDescent="0.3">
      <c r="A5" s="19" t="s">
        <v>52</v>
      </c>
      <c r="B5" s="35"/>
      <c r="G5" s="22"/>
    </row>
    <row r="6" spans="1:10" ht="15.75" thickTop="1" x14ac:dyDescent="0.25">
      <c r="A6" s="4" t="s">
        <v>15</v>
      </c>
      <c r="B6" s="35"/>
      <c r="D6" s="24"/>
      <c r="E6" s="25">
        <v>500000</v>
      </c>
      <c r="F6" s="79">
        <v>500000</v>
      </c>
      <c r="G6" s="31"/>
    </row>
    <row r="7" spans="1:10" x14ac:dyDescent="0.25">
      <c r="A7" s="4"/>
      <c r="B7" s="35"/>
      <c r="D7" s="24"/>
      <c r="E7" s="25"/>
      <c r="F7" s="79"/>
      <c r="G7" s="31"/>
    </row>
    <row r="8" spans="1:10" x14ac:dyDescent="0.25">
      <c r="A8" s="6" t="s">
        <v>26</v>
      </c>
      <c r="B8" s="35"/>
      <c r="D8" s="24"/>
      <c r="E8" s="25"/>
      <c r="F8" s="79"/>
      <c r="G8" s="31"/>
    </row>
    <row r="9" spans="1:10" x14ac:dyDescent="0.25">
      <c r="A9" s="42" t="s">
        <v>16</v>
      </c>
      <c r="B9" s="35"/>
      <c r="D9" s="24"/>
      <c r="E9" s="25">
        <v>89000</v>
      </c>
      <c r="F9" s="79"/>
      <c r="G9" s="31"/>
    </row>
    <row r="10" spans="1:10" x14ac:dyDescent="0.25">
      <c r="A10" s="42" t="s">
        <v>17</v>
      </c>
      <c r="B10" s="35"/>
      <c r="D10" s="24"/>
      <c r="E10" s="25">
        <v>567303</v>
      </c>
      <c r="F10" s="79"/>
      <c r="G10" s="31"/>
    </row>
    <row r="11" spans="1:10" ht="30" x14ac:dyDescent="0.25">
      <c r="A11" s="43" t="s">
        <v>161</v>
      </c>
      <c r="B11" s="35"/>
      <c r="D11" s="24"/>
      <c r="E11" s="25">
        <v>58000</v>
      </c>
      <c r="F11" s="79"/>
      <c r="G11" s="31"/>
    </row>
    <row r="12" spans="1:10" ht="15.75" thickBot="1" x14ac:dyDescent="0.3">
      <c r="A12" s="42" t="s">
        <v>19</v>
      </c>
      <c r="B12" s="35"/>
      <c r="D12" s="24"/>
      <c r="E12" s="130">
        <v>35000</v>
      </c>
      <c r="F12" s="79"/>
      <c r="G12" s="31"/>
    </row>
    <row r="13" spans="1:10" x14ac:dyDescent="0.25">
      <c r="A13" s="1"/>
      <c r="B13" s="35"/>
      <c r="D13" s="24"/>
      <c r="E13" s="69" t="s">
        <v>162</v>
      </c>
      <c r="F13" s="79">
        <f>SUM(E9:E12)</f>
        <v>749303</v>
      </c>
      <c r="G13" s="31"/>
    </row>
    <row r="14" spans="1:10" x14ac:dyDescent="0.25">
      <c r="A14" s="6" t="s">
        <v>25</v>
      </c>
      <c r="B14" s="35"/>
      <c r="D14" s="24"/>
      <c r="E14" s="25"/>
      <c r="F14" s="79"/>
      <c r="G14" s="31"/>
    </row>
    <row r="15" spans="1:10" x14ac:dyDescent="0.25">
      <c r="A15" s="46" t="s">
        <v>113</v>
      </c>
      <c r="B15" s="35"/>
      <c r="D15" s="24"/>
      <c r="E15" s="25">
        <v>1028214</v>
      </c>
      <c r="F15" s="79"/>
      <c r="G15" s="31"/>
    </row>
    <row r="16" spans="1:10" x14ac:dyDescent="0.25">
      <c r="A16" s="46" t="s">
        <v>114</v>
      </c>
      <c r="B16" s="35"/>
      <c r="D16" s="24"/>
      <c r="E16" s="25">
        <f>0.1*E15</f>
        <v>102821.40000000001</v>
      </c>
      <c r="F16" s="79"/>
      <c r="G16" s="31"/>
    </row>
    <row r="17" spans="1:13" x14ac:dyDescent="0.25">
      <c r="A17" s="42" t="s">
        <v>25</v>
      </c>
      <c r="B17" s="35"/>
      <c r="D17" s="24">
        <v>1893714</v>
      </c>
      <c r="E17" s="25"/>
      <c r="F17" s="79"/>
      <c r="G17" s="31"/>
    </row>
    <row r="18" spans="1:13" x14ac:dyDescent="0.25">
      <c r="A18" s="42" t="s">
        <v>29</v>
      </c>
      <c r="B18" s="35"/>
      <c r="D18" s="24">
        <f>0.1*D17</f>
        <v>189371.40000000002</v>
      </c>
      <c r="E18" s="25"/>
      <c r="F18" s="79"/>
      <c r="G18" s="31"/>
      <c r="J18" s="3">
        <f>D18</f>
        <v>189371.40000000002</v>
      </c>
    </row>
    <row r="19" spans="1:13" ht="15.75" thickBot="1" x14ac:dyDescent="0.3">
      <c r="A19" s="42" t="s">
        <v>115</v>
      </c>
      <c r="B19" s="35"/>
      <c r="D19" s="129">
        <v>19444</v>
      </c>
      <c r="E19" s="130">
        <v>19444</v>
      </c>
      <c r="F19" s="79"/>
      <c r="G19" s="31"/>
    </row>
    <row r="20" spans="1:13" x14ac:dyDescent="0.25">
      <c r="A20" s="4"/>
      <c r="B20" s="35"/>
      <c r="C20" s="22">
        <f>SUM(D17:D19)</f>
        <v>2102529.4</v>
      </c>
      <c r="D20" s="68" t="s">
        <v>164</v>
      </c>
      <c r="E20" s="69" t="s">
        <v>162</v>
      </c>
      <c r="F20" s="79">
        <f>SUM(E15:E19)</f>
        <v>1150479.3999999999</v>
      </c>
      <c r="G20" s="31"/>
    </row>
    <row r="21" spans="1:13" x14ac:dyDescent="0.25">
      <c r="A21" s="4"/>
      <c r="B21" s="35"/>
      <c r="D21" s="24"/>
      <c r="E21" s="25"/>
      <c r="F21" s="79"/>
      <c r="G21" s="31"/>
    </row>
    <row r="22" spans="1:13" x14ac:dyDescent="0.25">
      <c r="A22" s="44" t="s">
        <v>28</v>
      </c>
      <c r="B22" s="35"/>
      <c r="D22" s="24"/>
      <c r="E22" s="25"/>
      <c r="F22" s="79"/>
      <c r="G22" s="31"/>
    </row>
    <row r="23" spans="1:13" x14ac:dyDescent="0.25">
      <c r="A23" s="42" t="s">
        <v>6</v>
      </c>
      <c r="B23" s="35"/>
      <c r="D23" s="24"/>
      <c r="E23" s="25">
        <v>332000</v>
      </c>
      <c r="F23" s="79"/>
      <c r="G23" s="31" t="s">
        <v>124</v>
      </c>
    </row>
    <row r="24" spans="1:13" x14ac:dyDescent="0.25">
      <c r="A24" s="42" t="s">
        <v>116</v>
      </c>
      <c r="B24" s="35"/>
      <c r="D24" s="24"/>
      <c r="E24" s="25">
        <f>0.15*E23</f>
        <v>49800</v>
      </c>
      <c r="F24" s="79"/>
      <c r="G24" s="31" t="s">
        <v>136</v>
      </c>
      <c r="J24" s="3">
        <v>49800</v>
      </c>
    </row>
    <row r="25" spans="1:13" x14ac:dyDescent="0.25">
      <c r="A25" s="45" t="s">
        <v>20</v>
      </c>
      <c r="B25" s="35"/>
      <c r="D25" s="24"/>
      <c r="E25" s="25">
        <v>59167</v>
      </c>
      <c r="F25" s="79"/>
      <c r="G25" s="31" t="s">
        <v>125</v>
      </c>
    </row>
    <row r="26" spans="1:13" x14ac:dyDescent="0.25">
      <c r="A26" s="45" t="s">
        <v>21</v>
      </c>
      <c r="B26" s="35"/>
      <c r="D26" s="24"/>
      <c r="E26" s="25">
        <v>16271</v>
      </c>
      <c r="F26" s="79"/>
      <c r="G26" s="31" t="s">
        <v>126</v>
      </c>
    </row>
    <row r="27" spans="1:13" x14ac:dyDescent="0.25">
      <c r="A27" s="45" t="s">
        <v>117</v>
      </c>
      <c r="B27" s="35"/>
      <c r="D27" s="24"/>
      <c r="E27" s="25">
        <v>40000</v>
      </c>
      <c r="F27" s="79"/>
      <c r="G27" s="31" t="s">
        <v>127</v>
      </c>
    </row>
    <row r="28" spans="1:13" x14ac:dyDescent="0.25">
      <c r="A28" s="45" t="s">
        <v>23</v>
      </c>
      <c r="B28" s="35"/>
      <c r="D28" s="24"/>
      <c r="E28" s="25">
        <v>50000</v>
      </c>
      <c r="F28" s="79"/>
      <c r="G28" s="31" t="s">
        <v>128</v>
      </c>
    </row>
    <row r="29" spans="1:13" x14ac:dyDescent="0.25">
      <c r="A29" s="45" t="s">
        <v>24</v>
      </c>
      <c r="B29" s="35"/>
      <c r="D29" s="24"/>
      <c r="E29" s="25">
        <v>10000</v>
      </c>
      <c r="F29" s="79"/>
      <c r="G29" s="31" t="s">
        <v>129</v>
      </c>
    </row>
    <row r="30" spans="1:13" x14ac:dyDescent="0.25">
      <c r="A30" s="45" t="s">
        <v>118</v>
      </c>
      <c r="B30" s="35"/>
      <c r="D30" s="24"/>
      <c r="E30" s="25">
        <v>90000</v>
      </c>
      <c r="F30" s="79"/>
      <c r="G30" s="20" t="s">
        <v>131</v>
      </c>
    </row>
    <row r="31" spans="1:13" x14ac:dyDescent="0.25">
      <c r="A31" s="45" t="s">
        <v>119</v>
      </c>
      <c r="B31" s="35"/>
      <c r="D31" s="24"/>
      <c r="E31" s="25">
        <v>100000</v>
      </c>
      <c r="F31" s="79"/>
      <c r="G31" s="20" t="s">
        <v>132</v>
      </c>
      <c r="M31" s="132">
        <f>F20+F36</f>
        <v>2035793.4</v>
      </c>
    </row>
    <row r="32" spans="1:13" x14ac:dyDescent="0.25">
      <c r="A32" s="93" t="s">
        <v>120</v>
      </c>
      <c r="B32" s="35"/>
      <c r="D32" s="24"/>
      <c r="E32" s="25">
        <v>2500</v>
      </c>
      <c r="F32" s="79"/>
      <c r="G32" s="20" t="s">
        <v>133</v>
      </c>
      <c r="M32" s="132">
        <f>3145765-M31</f>
        <v>1109971.6000000001</v>
      </c>
    </row>
    <row r="33" spans="1:10" x14ac:dyDescent="0.25">
      <c r="A33" s="93" t="s">
        <v>121</v>
      </c>
      <c r="B33" s="35"/>
      <c r="D33" s="24"/>
      <c r="E33" s="25">
        <v>100</v>
      </c>
      <c r="F33" s="79"/>
      <c r="G33" s="20" t="s">
        <v>134</v>
      </c>
    </row>
    <row r="34" spans="1:10" x14ac:dyDescent="0.25">
      <c r="A34" s="93" t="s">
        <v>122</v>
      </c>
      <c r="B34" s="35"/>
      <c r="D34" s="24"/>
      <c r="E34" s="25">
        <v>20000</v>
      </c>
      <c r="F34" s="79"/>
      <c r="G34" s="20" t="s">
        <v>135</v>
      </c>
    </row>
    <row r="35" spans="1:10" ht="15.75" thickBot="1" x14ac:dyDescent="0.3">
      <c r="A35" s="93" t="s">
        <v>123</v>
      </c>
      <c r="B35" s="35"/>
      <c r="D35" s="24"/>
      <c r="E35" s="130">
        <v>115476</v>
      </c>
      <c r="F35" s="79"/>
      <c r="G35" s="31" t="s">
        <v>130</v>
      </c>
      <c r="J35" s="3">
        <v>115476</v>
      </c>
    </row>
    <row r="36" spans="1:10" x14ac:dyDescent="0.25">
      <c r="A36" s="7"/>
      <c r="B36" s="35"/>
      <c r="D36" s="24"/>
      <c r="E36" s="69" t="s">
        <v>163</v>
      </c>
      <c r="F36" s="79">
        <f>SUM(E23:E35)</f>
        <v>885314</v>
      </c>
      <c r="G36" s="31"/>
    </row>
    <row r="37" spans="1:10" ht="30" x14ac:dyDescent="0.25">
      <c r="A37" s="133" t="s">
        <v>166</v>
      </c>
      <c r="B37" s="35"/>
      <c r="D37" s="24"/>
      <c r="E37" s="69"/>
      <c r="F37" s="79"/>
      <c r="G37" s="31"/>
    </row>
    <row r="38" spans="1:10" x14ac:dyDescent="0.25">
      <c r="A38" s="7"/>
      <c r="B38" s="35"/>
      <c r="D38" s="24"/>
      <c r="E38" s="69"/>
      <c r="F38" s="79"/>
      <c r="G38" s="31"/>
    </row>
    <row r="39" spans="1:10" x14ac:dyDescent="0.25">
      <c r="A39" s="6" t="s">
        <v>40</v>
      </c>
      <c r="B39" s="35"/>
      <c r="D39" s="24"/>
      <c r="E39" s="25"/>
      <c r="F39" s="79"/>
      <c r="G39" s="31"/>
    </row>
    <row r="40" spans="1:10" ht="45" x14ac:dyDescent="0.25">
      <c r="A40" s="71" t="s">
        <v>39</v>
      </c>
      <c r="B40" s="35"/>
      <c r="D40" s="72"/>
      <c r="E40" s="73">
        <v>2000000</v>
      </c>
      <c r="F40" s="79">
        <v>2000000</v>
      </c>
      <c r="G40" s="31"/>
      <c r="H40" s="2" t="s">
        <v>111</v>
      </c>
      <c r="I40" s="3">
        <v>500000</v>
      </c>
    </row>
    <row r="41" spans="1:10" s="53" customFormat="1" ht="15.75" x14ac:dyDescent="0.25">
      <c r="A41" s="74" t="s">
        <v>85</v>
      </c>
      <c r="B41" s="75"/>
      <c r="C41" s="112">
        <f>SUM(C11:C40)</f>
        <v>2102529.4</v>
      </c>
      <c r="D41" s="56">
        <f>SUM(D6:D40)</f>
        <v>2102529.4</v>
      </c>
      <c r="E41" s="56">
        <f>SUM(E6:E40)</f>
        <v>5285096.4000000004</v>
      </c>
      <c r="F41" s="98">
        <f>SUM(F6:F40)</f>
        <v>5285096.4000000004</v>
      </c>
      <c r="G41" s="51"/>
      <c r="H41" s="52"/>
      <c r="I41" s="52"/>
      <c r="J41" s="52"/>
    </row>
    <row r="42" spans="1:10" s="53" customFormat="1" ht="15.75" x14ac:dyDescent="0.25">
      <c r="A42" s="76" t="s">
        <v>79</v>
      </c>
      <c r="B42" s="77"/>
      <c r="C42" s="115"/>
      <c r="D42" s="368">
        <f>D41+E41</f>
        <v>7387625.8000000007</v>
      </c>
      <c r="E42" s="368"/>
      <c r="F42" s="99"/>
      <c r="G42" s="51"/>
      <c r="H42" s="52"/>
      <c r="I42" s="52"/>
      <c r="J42" s="52"/>
    </row>
    <row r="43" spans="1:10" s="53" customFormat="1" ht="15.75" x14ac:dyDescent="0.25">
      <c r="A43" s="54"/>
      <c r="B43" s="57"/>
      <c r="C43" s="58"/>
      <c r="D43" s="70"/>
      <c r="E43" s="70"/>
      <c r="F43" s="70"/>
      <c r="G43" s="51"/>
      <c r="H43" s="52"/>
      <c r="I43" s="52"/>
      <c r="J43" s="52"/>
    </row>
    <row r="44" spans="1:10" s="53" customFormat="1" ht="15.75" x14ac:dyDescent="0.25">
      <c r="A44" s="54"/>
      <c r="B44" s="57"/>
      <c r="C44" s="58"/>
      <c r="D44" s="70"/>
      <c r="E44" s="70"/>
      <c r="F44" s="70"/>
      <c r="G44" s="51"/>
      <c r="H44" s="52"/>
      <c r="I44" s="52"/>
      <c r="J44" s="52"/>
    </row>
    <row r="45" spans="1:10" x14ac:dyDescent="0.25">
      <c r="A45" s="14" t="s">
        <v>53</v>
      </c>
      <c r="B45" s="35"/>
      <c r="D45" s="24"/>
      <c r="E45" s="25"/>
      <c r="F45" s="79"/>
      <c r="G45" s="31"/>
    </row>
    <row r="46" spans="1:10" x14ac:dyDescent="0.25">
      <c r="A46" s="46" t="s">
        <v>31</v>
      </c>
      <c r="B46" s="35"/>
      <c r="E46" s="68">
        <v>500000</v>
      </c>
      <c r="F46" s="78">
        <f>E46</f>
        <v>500000</v>
      </c>
      <c r="G46" s="31"/>
    </row>
    <row r="47" spans="1:10" x14ac:dyDescent="0.25">
      <c r="B47" s="35"/>
      <c r="D47" s="24"/>
      <c r="E47" s="25"/>
      <c r="F47" s="79"/>
      <c r="G47" s="31"/>
    </row>
    <row r="48" spans="1:10" x14ac:dyDescent="0.25">
      <c r="A48" s="6" t="s">
        <v>26</v>
      </c>
      <c r="B48" s="35"/>
      <c r="D48" s="24"/>
      <c r="E48" s="25"/>
      <c r="F48" s="79"/>
      <c r="G48" s="31"/>
    </row>
    <row r="49" spans="1:10" x14ac:dyDescent="0.25">
      <c r="A49" s="42" t="s">
        <v>16</v>
      </c>
      <c r="B49" s="35"/>
      <c r="D49" s="24"/>
      <c r="E49" s="25">
        <v>260000</v>
      </c>
      <c r="F49" s="79"/>
      <c r="G49" s="31"/>
    </row>
    <row r="50" spans="1:10" x14ac:dyDescent="0.25">
      <c r="A50" s="42" t="s">
        <v>17</v>
      </c>
      <c r="B50" s="35"/>
      <c r="D50" s="24"/>
      <c r="E50" s="25">
        <v>1794959</v>
      </c>
      <c r="F50" s="79"/>
      <c r="G50" s="31"/>
    </row>
    <row r="51" spans="1:10" ht="30" x14ac:dyDescent="0.25">
      <c r="A51" s="43" t="s">
        <v>18</v>
      </c>
      <c r="B51" s="35"/>
      <c r="D51" s="24"/>
      <c r="E51" s="25">
        <v>270000</v>
      </c>
      <c r="F51" s="79"/>
      <c r="G51" s="31"/>
    </row>
    <row r="52" spans="1:10" ht="15.75" thickBot="1" x14ac:dyDescent="0.3">
      <c r="A52" s="42" t="s">
        <v>19</v>
      </c>
      <c r="B52" s="35"/>
      <c r="D52" s="24"/>
      <c r="E52" s="130">
        <v>60000</v>
      </c>
      <c r="F52" s="79"/>
      <c r="G52" s="31"/>
    </row>
    <row r="53" spans="1:10" x14ac:dyDescent="0.25">
      <c r="A53" s="4"/>
      <c r="B53" s="35"/>
      <c r="D53" s="24"/>
      <c r="E53" s="69" t="s">
        <v>162</v>
      </c>
      <c r="F53" s="79">
        <f>SUM(E49:E52)</f>
        <v>2384959</v>
      </c>
      <c r="G53" s="31"/>
    </row>
    <row r="54" spans="1:10" x14ac:dyDescent="0.25">
      <c r="A54" s="6" t="s">
        <v>25</v>
      </c>
      <c r="B54" s="35"/>
      <c r="D54" s="24"/>
      <c r="E54" s="25"/>
      <c r="F54" s="79"/>
      <c r="G54" s="31"/>
    </row>
    <row r="55" spans="1:10" ht="30" x14ac:dyDescent="0.25">
      <c r="A55" s="46" t="s">
        <v>25</v>
      </c>
      <c r="B55" s="35"/>
      <c r="D55" s="24">
        <v>10659000</v>
      </c>
      <c r="E55" s="25"/>
      <c r="F55" s="79"/>
      <c r="G55" s="32"/>
      <c r="H55" s="10" t="s">
        <v>37</v>
      </c>
    </row>
    <row r="56" spans="1:10" x14ac:dyDescent="0.25">
      <c r="A56" s="46" t="s">
        <v>27</v>
      </c>
      <c r="B56" s="35"/>
      <c r="D56" s="24">
        <v>1065900</v>
      </c>
      <c r="E56" s="25"/>
      <c r="F56" s="79"/>
      <c r="G56" s="32"/>
    </row>
    <row r="57" spans="1:10" x14ac:dyDescent="0.25">
      <c r="B57" s="35"/>
      <c r="C57" s="22">
        <f>D56+D55</f>
        <v>11724900</v>
      </c>
      <c r="D57" s="24" t="s">
        <v>160</v>
      </c>
      <c r="E57" s="24"/>
      <c r="F57" s="78"/>
      <c r="G57" s="31"/>
    </row>
    <row r="58" spans="1:10" x14ac:dyDescent="0.25">
      <c r="B58" s="35"/>
      <c r="D58" s="24"/>
      <c r="E58" s="25"/>
      <c r="F58" s="79"/>
      <c r="G58" s="31"/>
    </row>
    <row r="59" spans="1:10" x14ac:dyDescent="0.25">
      <c r="A59" s="44" t="s">
        <v>28</v>
      </c>
      <c r="B59" s="35"/>
      <c r="D59" s="24"/>
      <c r="E59" s="25"/>
      <c r="F59" s="79"/>
      <c r="G59" s="31"/>
    </row>
    <row r="60" spans="1:10" x14ac:dyDescent="0.25">
      <c r="A60" s="42" t="s">
        <v>6</v>
      </c>
      <c r="B60" s="35"/>
      <c r="D60" s="24"/>
      <c r="E60" s="25">
        <v>930031</v>
      </c>
      <c r="F60" s="79"/>
      <c r="G60" s="31" t="s">
        <v>124</v>
      </c>
    </row>
    <row r="61" spans="1:10" x14ac:dyDescent="0.25">
      <c r="A61" s="42" t="s">
        <v>116</v>
      </c>
      <c r="B61" s="35"/>
      <c r="D61" s="24"/>
      <c r="E61" s="25">
        <f>0.15*E60</f>
        <v>139504.65</v>
      </c>
      <c r="F61" s="79"/>
      <c r="G61" s="31" t="s">
        <v>136</v>
      </c>
      <c r="J61" s="3">
        <v>139505</v>
      </c>
    </row>
    <row r="62" spans="1:10" x14ac:dyDescent="0.25">
      <c r="A62" s="45" t="s">
        <v>20</v>
      </c>
      <c r="B62" s="35"/>
      <c r="D62" s="24"/>
      <c r="E62" s="25">
        <v>120000</v>
      </c>
      <c r="F62" s="79"/>
      <c r="G62" s="31" t="s">
        <v>125</v>
      </c>
    </row>
    <row r="63" spans="1:10" x14ac:dyDescent="0.25">
      <c r="A63" s="45" t="s">
        <v>21</v>
      </c>
      <c r="B63" s="35"/>
      <c r="D63" s="24"/>
      <c r="E63" s="25">
        <v>93003</v>
      </c>
      <c r="F63" s="79"/>
      <c r="G63" s="31" t="s">
        <v>126</v>
      </c>
    </row>
    <row r="64" spans="1:10" x14ac:dyDescent="0.25">
      <c r="A64" s="45" t="s">
        <v>22</v>
      </c>
      <c r="B64" s="35"/>
      <c r="D64" s="24"/>
      <c r="E64" s="25">
        <v>200000</v>
      </c>
      <c r="F64" s="79"/>
      <c r="G64" s="31" t="s">
        <v>127</v>
      </c>
    </row>
    <row r="65" spans="1:10" x14ac:dyDescent="0.25">
      <c r="A65" s="45" t="s">
        <v>23</v>
      </c>
      <c r="B65" s="35"/>
      <c r="D65" s="24"/>
      <c r="E65" s="25">
        <v>300000</v>
      </c>
      <c r="F65" s="79"/>
      <c r="G65" s="31" t="s">
        <v>128</v>
      </c>
    </row>
    <row r="66" spans="1:10" x14ac:dyDescent="0.25">
      <c r="A66" s="45" t="s">
        <v>24</v>
      </c>
      <c r="B66" s="35"/>
      <c r="D66" s="24"/>
      <c r="E66" s="25">
        <v>5000</v>
      </c>
      <c r="F66" s="79"/>
      <c r="G66" s="31" t="s">
        <v>129</v>
      </c>
    </row>
    <row r="67" spans="1:10" x14ac:dyDescent="0.25">
      <c r="A67" s="45" t="s">
        <v>118</v>
      </c>
      <c r="B67" s="35"/>
      <c r="D67" s="24"/>
      <c r="E67" s="94">
        <v>0</v>
      </c>
      <c r="F67" s="100"/>
      <c r="G67" s="20" t="s">
        <v>131</v>
      </c>
    </row>
    <row r="68" spans="1:10" x14ac:dyDescent="0.25">
      <c r="A68" s="45" t="s">
        <v>119</v>
      </c>
      <c r="B68" s="35"/>
      <c r="D68" s="24"/>
      <c r="E68" s="94">
        <v>0</v>
      </c>
      <c r="F68" s="100"/>
      <c r="G68" s="20" t="s">
        <v>132</v>
      </c>
    </row>
    <row r="69" spans="1:10" x14ac:dyDescent="0.25">
      <c r="A69" s="93" t="s">
        <v>120</v>
      </c>
      <c r="B69" s="35"/>
      <c r="D69" s="24"/>
      <c r="E69" s="94">
        <v>0</v>
      </c>
      <c r="F69" s="100"/>
      <c r="G69" s="20" t="s">
        <v>133</v>
      </c>
    </row>
    <row r="70" spans="1:10" x14ac:dyDescent="0.25">
      <c r="A70" s="93" t="s">
        <v>121</v>
      </c>
      <c r="B70" s="35"/>
      <c r="D70" s="24"/>
      <c r="E70" s="94">
        <v>0</v>
      </c>
      <c r="F70" s="100"/>
      <c r="G70" s="20" t="s">
        <v>134</v>
      </c>
    </row>
    <row r="71" spans="1:10" x14ac:dyDescent="0.25">
      <c r="A71" s="93" t="s">
        <v>122</v>
      </c>
      <c r="B71" s="35"/>
      <c r="D71" s="24"/>
      <c r="E71" s="94">
        <v>0</v>
      </c>
      <c r="F71" s="100"/>
      <c r="G71" s="20" t="s">
        <v>135</v>
      </c>
    </row>
    <row r="72" spans="1:10" ht="15.75" thickBot="1" x14ac:dyDescent="0.3">
      <c r="A72" s="93" t="s">
        <v>123</v>
      </c>
      <c r="B72" s="35"/>
      <c r="D72" s="24"/>
      <c r="E72" s="130">
        <f>SUM(E62:E71)*0.15</f>
        <v>107700.45</v>
      </c>
      <c r="F72" s="79"/>
      <c r="G72" s="31"/>
      <c r="J72" s="3">
        <v>107000</v>
      </c>
    </row>
    <row r="73" spans="1:10" x14ac:dyDescent="0.25">
      <c r="A73" s="7"/>
      <c r="B73" s="35"/>
      <c r="D73" s="24"/>
      <c r="E73" s="69" t="s">
        <v>162</v>
      </c>
      <c r="F73" s="79">
        <f>SUM(E60:E72)</f>
        <v>1895239.0999999999</v>
      </c>
      <c r="G73" s="31"/>
    </row>
    <row r="74" spans="1:10" x14ac:dyDescent="0.25">
      <c r="A74" s="6" t="s">
        <v>40</v>
      </c>
      <c r="B74" s="35"/>
      <c r="D74" s="24"/>
      <c r="E74" s="25"/>
      <c r="F74" s="79"/>
      <c r="G74" s="31"/>
    </row>
    <row r="75" spans="1:10" x14ac:dyDescent="0.25">
      <c r="A75" s="45" t="s">
        <v>39</v>
      </c>
      <c r="B75" s="35"/>
      <c r="D75" s="24"/>
      <c r="E75" s="94">
        <v>0</v>
      </c>
      <c r="F75" s="100">
        <v>0</v>
      </c>
      <c r="G75" s="20"/>
      <c r="H75" s="96" t="s">
        <v>48</v>
      </c>
      <c r="I75" s="96">
        <v>0</v>
      </c>
    </row>
    <row r="76" spans="1:10" s="53" customFormat="1" ht="15.75" x14ac:dyDescent="0.25">
      <c r="A76" s="74" t="s">
        <v>86</v>
      </c>
      <c r="B76" s="55"/>
      <c r="C76" s="112">
        <f>SUM(C56:C75)</f>
        <v>11724900</v>
      </c>
      <c r="D76" s="80">
        <f>SUM(D46:D75)</f>
        <v>11724900</v>
      </c>
      <c r="E76" s="80">
        <f>SUM(E46:E75)</f>
        <v>4780198.1000000006</v>
      </c>
      <c r="F76" s="80">
        <f>SUM(F46:F75)</f>
        <v>4780198.0999999996</v>
      </c>
      <c r="G76" s="51"/>
      <c r="H76" s="52"/>
      <c r="I76" s="52"/>
      <c r="J76" s="52"/>
    </row>
    <row r="77" spans="1:10" ht="15.75" x14ac:dyDescent="0.25">
      <c r="A77" s="76" t="s">
        <v>80</v>
      </c>
      <c r="B77" s="81"/>
      <c r="C77" s="114"/>
      <c r="D77" s="368">
        <f>D76+E76</f>
        <v>16505098.100000001</v>
      </c>
      <c r="E77" s="368"/>
      <c r="F77" s="99"/>
      <c r="G77" s="20"/>
      <c r="H77" s="11"/>
      <c r="I77" s="11"/>
    </row>
    <row r="78" spans="1:10" x14ac:dyDescent="0.25">
      <c r="A78" s="49"/>
      <c r="B78" s="35"/>
      <c r="D78" s="78"/>
      <c r="E78" s="78"/>
      <c r="F78" s="78"/>
      <c r="G78" s="20"/>
      <c r="H78" s="11"/>
      <c r="I78" s="11"/>
    </row>
    <row r="79" spans="1:10" x14ac:dyDescent="0.25">
      <c r="B79" s="35"/>
      <c r="D79" s="78"/>
      <c r="E79" s="79"/>
      <c r="F79" s="79"/>
      <c r="G79" s="31"/>
    </row>
    <row r="80" spans="1:10" x14ac:dyDescent="0.25">
      <c r="A80" s="13" t="s">
        <v>156</v>
      </c>
      <c r="B80" s="35"/>
      <c r="D80" s="24"/>
      <c r="E80" s="25"/>
      <c r="F80" s="79"/>
      <c r="G80" s="31"/>
    </row>
    <row r="81" spans="1:10" x14ac:dyDescent="0.25">
      <c r="A81" s="42" t="s">
        <v>3</v>
      </c>
      <c r="B81" s="35"/>
      <c r="E81" s="68">
        <v>277957</v>
      </c>
      <c r="F81" s="78">
        <f>E81</f>
        <v>277957</v>
      </c>
      <c r="G81" s="31"/>
    </row>
    <row r="82" spans="1:10" x14ac:dyDescent="0.25">
      <c r="A82" s="4"/>
      <c r="B82" s="35"/>
      <c r="D82" s="24"/>
      <c r="E82" s="25"/>
      <c r="F82" s="79"/>
      <c r="G82" s="31"/>
    </row>
    <row r="83" spans="1:10" x14ac:dyDescent="0.25">
      <c r="A83" s="6" t="s">
        <v>26</v>
      </c>
      <c r="B83" s="35"/>
      <c r="D83" s="24"/>
      <c r="E83" s="25"/>
      <c r="F83" s="79"/>
      <c r="G83" s="31"/>
    </row>
    <row r="84" spans="1:10" x14ac:dyDescent="0.25">
      <c r="A84" s="42" t="s">
        <v>4</v>
      </c>
      <c r="B84" s="35"/>
      <c r="D84" s="24"/>
      <c r="E84" s="25">
        <v>14500</v>
      </c>
      <c r="F84" s="79">
        <f>E84</f>
        <v>14500</v>
      </c>
      <c r="G84" s="31"/>
    </row>
    <row r="85" spans="1:10" x14ac:dyDescent="0.25">
      <c r="A85" s="4"/>
      <c r="B85" s="35"/>
      <c r="D85" s="24"/>
      <c r="E85" s="25"/>
      <c r="F85" s="79"/>
      <c r="G85" s="31"/>
    </row>
    <row r="86" spans="1:10" x14ac:dyDescent="0.25">
      <c r="A86" s="6" t="s">
        <v>33</v>
      </c>
      <c r="B86" s="35"/>
      <c r="D86" s="24"/>
      <c r="E86" s="25"/>
      <c r="F86" s="79"/>
      <c r="G86" s="31"/>
    </row>
    <row r="87" spans="1:10" x14ac:dyDescent="0.25">
      <c r="A87" s="42" t="s">
        <v>32</v>
      </c>
      <c r="B87" s="35"/>
      <c r="D87" s="24">
        <v>153900</v>
      </c>
      <c r="E87" s="25"/>
      <c r="F87" s="79"/>
      <c r="G87" s="31"/>
    </row>
    <row r="88" spans="1:10" x14ac:dyDescent="0.25">
      <c r="A88" s="42" t="s">
        <v>7</v>
      </c>
      <c r="B88" s="35"/>
      <c r="D88" s="24">
        <v>65520</v>
      </c>
      <c r="E88" s="25"/>
      <c r="F88" s="79"/>
      <c r="G88" s="31"/>
    </row>
    <row r="89" spans="1:10" x14ac:dyDescent="0.25">
      <c r="A89" s="42" t="s">
        <v>7</v>
      </c>
      <c r="B89" s="35"/>
      <c r="D89" s="24">
        <v>568</v>
      </c>
      <c r="E89" s="25"/>
      <c r="F89" s="79"/>
      <c r="G89" s="31"/>
    </row>
    <row r="90" spans="1:10" x14ac:dyDescent="0.25">
      <c r="A90" s="42" t="s">
        <v>8</v>
      </c>
      <c r="B90" s="35"/>
      <c r="D90" s="24">
        <v>3000</v>
      </c>
      <c r="E90" s="25"/>
      <c r="F90" s="79"/>
      <c r="G90" s="31"/>
    </row>
    <row r="91" spans="1:10" x14ac:dyDescent="0.25">
      <c r="A91" s="42" t="s">
        <v>9</v>
      </c>
      <c r="B91" s="35"/>
      <c r="D91" s="24">
        <v>60000</v>
      </c>
      <c r="E91" s="25"/>
      <c r="F91" s="79"/>
      <c r="G91" s="31"/>
    </row>
    <row r="92" spans="1:10" ht="15.75" thickBot="1" x14ac:dyDescent="0.3">
      <c r="A92" s="42" t="s">
        <v>36</v>
      </c>
      <c r="B92" s="35"/>
      <c r="D92" s="129">
        <v>23085</v>
      </c>
      <c r="E92" s="25"/>
      <c r="F92" s="79"/>
      <c r="G92" s="31"/>
      <c r="J92" s="3">
        <f>D92</f>
        <v>23085</v>
      </c>
    </row>
    <row r="93" spans="1:10" x14ac:dyDescent="0.25">
      <c r="A93" s="4"/>
      <c r="B93" s="35"/>
      <c r="C93" s="22">
        <f>SUM(D87:D92)</f>
        <v>306073</v>
      </c>
      <c r="D93" s="68" t="s">
        <v>164</v>
      </c>
      <c r="E93" s="25"/>
      <c r="F93" s="79"/>
      <c r="G93" s="31"/>
    </row>
    <row r="94" spans="1:10" x14ac:dyDescent="0.25">
      <c r="A94" s="6" t="s">
        <v>28</v>
      </c>
      <c r="B94" s="35"/>
      <c r="D94" s="24"/>
      <c r="E94" s="25"/>
      <c r="F94" s="79"/>
      <c r="G94" s="31"/>
    </row>
    <row r="95" spans="1:10" x14ac:dyDescent="0.25">
      <c r="A95" s="42" t="s">
        <v>5</v>
      </c>
      <c r="B95" s="35"/>
      <c r="D95" s="24"/>
      <c r="E95" s="25">
        <v>8500</v>
      </c>
      <c r="F95" s="79"/>
      <c r="G95" s="31"/>
    </row>
    <row r="96" spans="1:10" x14ac:dyDescent="0.25">
      <c r="A96" s="42" t="s">
        <v>6</v>
      </c>
      <c r="B96" s="35"/>
      <c r="D96" s="24"/>
      <c r="E96" s="25">
        <v>34753</v>
      </c>
      <c r="F96" s="79"/>
      <c r="G96" s="31"/>
    </row>
    <row r="97" spans="1:10" x14ac:dyDescent="0.25">
      <c r="A97" s="42" t="s">
        <v>34</v>
      </c>
      <c r="B97" s="35"/>
      <c r="D97" s="24"/>
      <c r="E97" s="25">
        <v>3500</v>
      </c>
      <c r="F97" s="79"/>
      <c r="G97" s="31"/>
    </row>
    <row r="98" spans="1:10" ht="15.75" thickBot="1" x14ac:dyDescent="0.3">
      <c r="A98" s="42" t="s">
        <v>35</v>
      </c>
      <c r="B98" s="35"/>
      <c r="D98" s="24"/>
      <c r="E98" s="131" t="s">
        <v>159</v>
      </c>
      <c r="F98" s="79"/>
      <c r="G98" s="31"/>
    </row>
    <row r="99" spans="1:10" x14ac:dyDescent="0.25">
      <c r="B99" s="35"/>
      <c r="D99" s="24"/>
      <c r="E99" s="68" t="s">
        <v>162</v>
      </c>
      <c r="F99" s="78">
        <f>SUM(E95:E98)</f>
        <v>46753</v>
      </c>
      <c r="G99" s="31"/>
    </row>
    <row r="100" spans="1:10" x14ac:dyDescent="0.25">
      <c r="B100" s="35"/>
      <c r="D100" s="24"/>
      <c r="E100" s="25"/>
      <c r="F100" s="79"/>
      <c r="G100" s="31"/>
    </row>
    <row r="101" spans="1:10" x14ac:dyDescent="0.25">
      <c r="A101" s="6" t="s">
        <v>49</v>
      </c>
      <c r="B101" s="35"/>
      <c r="D101" s="24"/>
      <c r="E101" s="25"/>
      <c r="F101" s="79"/>
      <c r="G101" s="31"/>
    </row>
    <row r="102" spans="1:10" x14ac:dyDescent="0.25">
      <c r="A102" t="s">
        <v>10</v>
      </c>
      <c r="B102" s="35"/>
      <c r="D102" s="24"/>
      <c r="E102" s="25">
        <f>4*I102</f>
        <v>80000</v>
      </c>
      <c r="F102" s="79"/>
      <c r="G102" s="31"/>
      <c r="I102" s="3">
        <v>20000</v>
      </c>
    </row>
    <row r="103" spans="1:10" x14ac:dyDescent="0.25">
      <c r="A103" t="s">
        <v>12</v>
      </c>
      <c r="B103" s="35"/>
      <c r="D103" s="24"/>
      <c r="E103" s="25">
        <f>4*I103</f>
        <v>33600</v>
      </c>
      <c r="F103" s="79"/>
      <c r="G103" s="31"/>
      <c r="I103" s="3">
        <v>8400</v>
      </c>
    </row>
    <row r="104" spans="1:10" x14ac:dyDescent="0.25">
      <c r="A104" t="s">
        <v>11</v>
      </c>
      <c r="B104" s="35"/>
      <c r="D104" s="24"/>
      <c r="E104" s="25">
        <f>4*I104</f>
        <v>59040</v>
      </c>
      <c r="F104" s="79"/>
      <c r="G104" s="31"/>
      <c r="I104" s="3">
        <v>14760</v>
      </c>
    </row>
    <row r="105" spans="1:10" ht="15.75" thickBot="1" x14ac:dyDescent="0.3">
      <c r="A105" t="s">
        <v>13</v>
      </c>
      <c r="B105" s="35"/>
      <c r="D105" s="24"/>
      <c r="E105" s="130">
        <v>48000</v>
      </c>
      <c r="F105" s="79"/>
      <c r="G105" s="31"/>
      <c r="H105" s="12" t="s">
        <v>14</v>
      </c>
      <c r="I105" s="3">
        <v>48000</v>
      </c>
    </row>
    <row r="106" spans="1:10" x14ac:dyDescent="0.25">
      <c r="E106" s="3" t="s">
        <v>162</v>
      </c>
      <c r="F106" s="3">
        <f>SUM(E102:E105)</f>
        <v>220640</v>
      </c>
    </row>
    <row r="107" spans="1:10" s="57" customFormat="1" ht="15.75" x14ac:dyDescent="0.25">
      <c r="A107" s="74" t="s">
        <v>157</v>
      </c>
      <c r="B107" s="55"/>
      <c r="C107" s="113">
        <f>C93</f>
        <v>306073</v>
      </c>
      <c r="D107" s="80">
        <f>SUM(D81:D105)</f>
        <v>306073</v>
      </c>
      <c r="E107" s="80">
        <f>SUM(E81:E105)</f>
        <v>559850</v>
      </c>
      <c r="F107" s="80">
        <f>SUM(F81:F106)</f>
        <v>559850</v>
      </c>
      <c r="G107" s="58"/>
      <c r="H107" s="59"/>
      <c r="I107" s="58"/>
      <c r="J107" s="58"/>
    </row>
    <row r="108" spans="1:10" s="57" customFormat="1" ht="15.75" x14ac:dyDescent="0.25">
      <c r="A108" s="76" t="s">
        <v>158</v>
      </c>
      <c r="B108" s="81"/>
      <c r="C108" s="114"/>
      <c r="D108" s="368">
        <f>D107+E107</f>
        <v>865923</v>
      </c>
      <c r="E108" s="368"/>
      <c r="F108" s="99"/>
      <c r="G108" s="58"/>
      <c r="H108" s="59"/>
      <c r="I108" s="58"/>
      <c r="J108" s="58"/>
    </row>
    <row r="109" spans="1:10" x14ac:dyDescent="0.25">
      <c r="B109" s="35"/>
      <c r="D109" s="78"/>
      <c r="E109" s="79"/>
      <c r="F109" s="79"/>
      <c r="G109" s="31"/>
    </row>
    <row r="110" spans="1:10" x14ac:dyDescent="0.25">
      <c r="B110" s="35"/>
      <c r="D110" s="78"/>
      <c r="E110" s="79"/>
      <c r="F110" s="79"/>
      <c r="G110" s="31"/>
    </row>
    <row r="111" spans="1:10" x14ac:dyDescent="0.25">
      <c r="A111" s="60" t="s">
        <v>1</v>
      </c>
      <c r="B111" s="61"/>
      <c r="D111" s="62" t="s">
        <v>2</v>
      </c>
      <c r="E111" s="63"/>
      <c r="F111" s="101"/>
      <c r="G111" s="31"/>
    </row>
    <row r="112" spans="1:10" x14ac:dyDescent="0.25">
      <c r="B112" s="35"/>
      <c r="D112" s="68"/>
      <c r="E112" s="69"/>
      <c r="F112" s="79"/>
      <c r="G112" s="31"/>
    </row>
    <row r="113" spans="1:10" ht="30.95" customHeight="1" x14ac:dyDescent="0.25">
      <c r="A113" s="14" t="s">
        <v>54</v>
      </c>
      <c r="B113" s="35"/>
      <c r="D113" s="24"/>
      <c r="E113" s="25"/>
      <c r="F113" s="79"/>
      <c r="G113" s="31"/>
    </row>
    <row r="114" spans="1:10" ht="0.95" customHeight="1" x14ac:dyDescent="0.25">
      <c r="A114" s="14"/>
      <c r="B114" s="35"/>
      <c r="D114" s="24"/>
      <c r="E114" s="38">
        <f>340000*4</f>
        <v>1360000</v>
      </c>
      <c r="F114" s="102"/>
      <c r="G114" s="33"/>
      <c r="H114" s="2" t="s">
        <v>42</v>
      </c>
      <c r="I114" s="3">
        <v>340000</v>
      </c>
    </row>
    <row r="115" spans="1:10" ht="45" x14ac:dyDescent="0.25">
      <c r="A115" t="s">
        <v>44</v>
      </c>
      <c r="B115" s="35"/>
      <c r="D115" s="24"/>
      <c r="E115" s="38">
        <v>1360000</v>
      </c>
      <c r="F115" s="102"/>
      <c r="G115" s="33"/>
      <c r="H115" s="2" t="s">
        <v>46</v>
      </c>
      <c r="I115" s="3">
        <v>340000</v>
      </c>
    </row>
    <row r="116" spans="1:10" s="9" customFormat="1" ht="60.75" x14ac:dyDescent="0.3">
      <c r="A116" s="15" t="s">
        <v>0</v>
      </c>
      <c r="B116" s="16"/>
      <c r="C116" s="108" t="s">
        <v>138</v>
      </c>
      <c r="D116" s="17" t="s">
        <v>77</v>
      </c>
      <c r="E116" s="17" t="s">
        <v>78</v>
      </c>
      <c r="F116" s="17" t="s">
        <v>139</v>
      </c>
      <c r="G116" s="17"/>
      <c r="H116" s="18" t="s">
        <v>38</v>
      </c>
      <c r="I116" s="92" t="s">
        <v>112</v>
      </c>
      <c r="J116" s="17" t="s">
        <v>140</v>
      </c>
    </row>
    <row r="117" spans="1:10" s="53" customFormat="1" ht="15.75" x14ac:dyDescent="0.25">
      <c r="A117" s="64" t="s">
        <v>81</v>
      </c>
      <c r="B117" s="55"/>
      <c r="C117" s="58"/>
      <c r="D117" s="56">
        <f>SUM(D115)</f>
        <v>0</v>
      </c>
      <c r="E117" s="56">
        <f t="shared" ref="E117" si="0">SUM(E115)</f>
        <v>1360000</v>
      </c>
      <c r="F117" s="98"/>
      <c r="G117" s="65"/>
      <c r="H117" s="66"/>
      <c r="I117" s="52"/>
      <c r="J117" s="52"/>
    </row>
    <row r="118" spans="1:10" x14ac:dyDescent="0.25">
      <c r="B118" s="35"/>
      <c r="D118" s="24"/>
      <c r="E118" s="25"/>
      <c r="F118" s="79"/>
      <c r="G118" s="31"/>
    </row>
    <row r="119" spans="1:10" ht="45" x14ac:dyDescent="0.25">
      <c r="A119" s="14" t="s">
        <v>172</v>
      </c>
      <c r="B119" s="35"/>
      <c r="D119" s="24"/>
      <c r="E119" s="25"/>
      <c r="F119" s="79"/>
      <c r="G119" s="31"/>
    </row>
    <row r="120" spans="1:10" s="21" customFormat="1" x14ac:dyDescent="0.25">
      <c r="A120" s="23" t="s">
        <v>45</v>
      </c>
      <c r="B120" s="35"/>
      <c r="C120" s="22"/>
      <c r="D120" s="39"/>
      <c r="E120" s="40">
        <v>1400000</v>
      </c>
      <c r="F120" s="103"/>
      <c r="G120" s="31"/>
      <c r="H120" s="22" t="s">
        <v>47</v>
      </c>
      <c r="I120" s="22">
        <v>350000</v>
      </c>
      <c r="J120" s="22"/>
    </row>
    <row r="121" spans="1:10" s="57" customFormat="1" ht="15.75" x14ac:dyDescent="0.25">
      <c r="A121" s="67" t="s">
        <v>82</v>
      </c>
      <c r="B121" s="55"/>
      <c r="C121" s="58"/>
      <c r="D121" s="56">
        <f>SUM(D120)</f>
        <v>0</v>
      </c>
      <c r="E121" s="56">
        <f t="shared" ref="E121" si="1">SUM(E120)</f>
        <v>1400000</v>
      </c>
      <c r="F121" s="98"/>
      <c r="G121" s="51"/>
      <c r="H121" s="58"/>
      <c r="I121" s="58"/>
      <c r="J121" s="58"/>
    </row>
    <row r="122" spans="1:10" x14ac:dyDescent="0.25">
      <c r="B122" s="35"/>
      <c r="D122" s="24"/>
      <c r="E122" s="25"/>
      <c r="F122" s="79"/>
      <c r="G122" s="31"/>
    </row>
    <row r="123" spans="1:10" x14ac:dyDescent="0.25">
      <c r="A123" s="13" t="s">
        <v>56</v>
      </c>
      <c r="B123" s="35"/>
      <c r="D123" s="41"/>
      <c r="E123" s="25"/>
      <c r="F123" s="79"/>
      <c r="G123" s="31"/>
    </row>
    <row r="124" spans="1:10" x14ac:dyDescent="0.25">
      <c r="A124" t="s">
        <v>41</v>
      </c>
      <c r="B124" s="35"/>
      <c r="D124" s="24"/>
      <c r="E124" s="25">
        <v>1300000</v>
      </c>
      <c r="F124" s="79"/>
      <c r="G124" s="31"/>
    </row>
    <row r="125" spans="1:10" ht="30" x14ac:dyDescent="0.25">
      <c r="A125" t="s">
        <v>45</v>
      </c>
      <c r="B125" s="35"/>
      <c r="D125" s="24"/>
      <c r="E125" s="95">
        <v>0</v>
      </c>
      <c r="F125" s="104"/>
      <c r="G125" s="31"/>
      <c r="H125" s="97" t="s">
        <v>51</v>
      </c>
      <c r="I125" s="96">
        <v>0</v>
      </c>
    </row>
    <row r="126" spans="1:10" s="53" customFormat="1" ht="15.75" x14ac:dyDescent="0.25">
      <c r="A126" s="64" t="s">
        <v>83</v>
      </c>
      <c r="B126" s="55"/>
      <c r="C126" s="58"/>
      <c r="D126" s="56">
        <f>SUM(D124:D125)</f>
        <v>0</v>
      </c>
      <c r="E126" s="56">
        <f t="shared" ref="E126" si="2">SUM(E124:E125)</f>
        <v>1300000</v>
      </c>
      <c r="F126" s="98"/>
      <c r="G126" s="51"/>
      <c r="H126" s="66"/>
      <c r="I126" s="52"/>
      <c r="J126" s="52"/>
    </row>
    <row r="127" spans="1:10" x14ac:dyDescent="0.25">
      <c r="B127" s="35"/>
      <c r="D127" s="24"/>
      <c r="E127" s="25"/>
      <c r="F127" s="79"/>
      <c r="G127" s="31"/>
    </row>
    <row r="128" spans="1:10" ht="30" x14ac:dyDescent="0.25">
      <c r="A128" s="14" t="s">
        <v>152</v>
      </c>
      <c r="B128" s="35"/>
      <c r="D128" s="24"/>
      <c r="E128" s="25"/>
      <c r="F128" s="79"/>
      <c r="G128" s="31"/>
    </row>
    <row r="129" spans="1:12" x14ac:dyDescent="0.25">
      <c r="A129" s="14"/>
      <c r="B129" s="35"/>
      <c r="D129" s="24"/>
      <c r="E129" s="25"/>
      <c r="F129" s="79"/>
      <c r="G129" s="31"/>
    </row>
    <row r="130" spans="1:12" ht="30" x14ac:dyDescent="0.25">
      <c r="A130" t="s">
        <v>45</v>
      </c>
      <c r="B130" s="35"/>
      <c r="D130" s="24" t="s">
        <v>50</v>
      </c>
      <c r="E130" s="38">
        <f>4*260000</f>
        <v>1040000</v>
      </c>
      <c r="F130" s="102"/>
      <c r="G130" s="33"/>
      <c r="H130" s="2" t="s">
        <v>43</v>
      </c>
      <c r="I130" s="3">
        <v>260000</v>
      </c>
    </row>
    <row r="131" spans="1:12" s="53" customFormat="1" ht="15.75" x14ac:dyDescent="0.25">
      <c r="A131" s="64" t="s">
        <v>84</v>
      </c>
      <c r="B131" s="55"/>
      <c r="C131" s="58"/>
      <c r="D131" s="56">
        <f>SUM(D130)</f>
        <v>0</v>
      </c>
      <c r="E131" s="56">
        <f t="shared" ref="E131" si="3">SUM(E130)</f>
        <v>1040000</v>
      </c>
      <c r="F131" s="98"/>
      <c r="G131" s="51"/>
      <c r="H131" s="52"/>
      <c r="I131" s="52"/>
      <c r="J131" s="52"/>
    </row>
    <row r="132" spans="1:12" s="9" customFormat="1" x14ac:dyDescent="0.25">
      <c r="B132" s="36"/>
      <c r="C132" s="109"/>
      <c r="D132" s="10"/>
      <c r="E132" s="11"/>
      <c r="F132" s="11"/>
      <c r="G132" s="20"/>
      <c r="H132" s="11"/>
      <c r="I132" s="11"/>
      <c r="J132" s="11"/>
    </row>
    <row r="133" spans="1:12" s="27" customFormat="1" ht="19.5" thickBot="1" x14ac:dyDescent="0.35">
      <c r="A133" s="26" t="s">
        <v>57</v>
      </c>
      <c r="B133" s="37"/>
      <c r="C133" s="110"/>
      <c r="D133" s="28">
        <f>D41+D76+D107+D117+D121+D126+D131</f>
        <v>14133502.4</v>
      </c>
      <c r="E133" s="28">
        <f>E41+E76+E107+E117+E121+E126+E131</f>
        <v>15725144.5</v>
      </c>
      <c r="F133" s="28"/>
      <c r="G133" s="34"/>
      <c r="H133" s="29"/>
      <c r="I133" s="29">
        <f>SUM(I6:I132)</f>
        <v>1881160</v>
      </c>
      <c r="J133" s="29">
        <f>SUM(J6:J132)</f>
        <v>624237.4</v>
      </c>
    </row>
    <row r="134" spans="1:12" x14ac:dyDescent="0.25">
      <c r="B134" s="35"/>
      <c r="G134" s="31"/>
      <c r="H134" s="359" t="s">
        <v>155</v>
      </c>
      <c r="I134" s="360"/>
      <c r="J134" s="360"/>
      <c r="K134" s="361"/>
    </row>
    <row r="135" spans="1:12" ht="18.75" customHeight="1" x14ac:dyDescent="0.3">
      <c r="B135" s="35"/>
      <c r="E135" s="30">
        <f>SUM(D133:E133)</f>
        <v>29858646.899999999</v>
      </c>
      <c r="F135" s="30"/>
      <c r="G135" s="31"/>
      <c r="H135" s="362"/>
      <c r="I135" s="363"/>
      <c r="J135" s="363"/>
      <c r="K135" s="364"/>
      <c r="L135" s="127"/>
    </row>
    <row r="136" spans="1:12" x14ac:dyDescent="0.25">
      <c r="H136" s="362"/>
      <c r="I136" s="363"/>
      <c r="J136" s="363"/>
      <c r="K136" s="364"/>
      <c r="L136" s="127"/>
    </row>
    <row r="137" spans="1:12" ht="15.75" x14ac:dyDescent="0.25">
      <c r="D137" s="48" t="s">
        <v>76</v>
      </c>
      <c r="H137" s="362"/>
      <c r="I137" s="363"/>
      <c r="J137" s="363"/>
      <c r="K137" s="364"/>
      <c r="L137" s="127"/>
    </row>
    <row r="138" spans="1:12" x14ac:dyDescent="0.25">
      <c r="A138" t="s">
        <v>58</v>
      </c>
      <c r="E138" s="3">
        <v>13011</v>
      </c>
      <c r="H138" s="362"/>
      <c r="I138" s="363"/>
      <c r="J138" s="363"/>
      <c r="K138" s="364"/>
      <c r="L138" s="127"/>
    </row>
    <row r="139" spans="1:12" ht="15" customHeight="1" x14ac:dyDescent="0.25">
      <c r="A139" t="s">
        <v>58</v>
      </c>
      <c r="E139" s="3">
        <v>10282</v>
      </c>
      <c r="H139" s="362"/>
      <c r="I139" s="363"/>
      <c r="J139" s="363"/>
      <c r="K139" s="364"/>
      <c r="L139" s="127"/>
    </row>
    <row r="140" spans="1:12" x14ac:dyDescent="0.25">
      <c r="A140" t="s">
        <v>59</v>
      </c>
      <c r="E140" s="3">
        <v>161578</v>
      </c>
      <c r="H140" s="362"/>
      <c r="I140" s="363"/>
      <c r="J140" s="363"/>
      <c r="K140" s="364"/>
    </row>
    <row r="141" spans="1:12" ht="15.75" thickBot="1" x14ac:dyDescent="0.3">
      <c r="A141" t="s">
        <v>60</v>
      </c>
      <c r="E141" s="3">
        <v>14177</v>
      </c>
      <c r="H141" s="365"/>
      <c r="I141" s="366"/>
      <c r="J141" s="366"/>
      <c r="K141" s="367"/>
    </row>
    <row r="142" spans="1:12" x14ac:dyDescent="0.25">
      <c r="A142" t="s">
        <v>169</v>
      </c>
      <c r="E142" s="3">
        <f>1440+400+1560+690+1740+540+2700+1800+1320+480+1320+864+840</f>
        <v>15694</v>
      </c>
    </row>
    <row r="143" spans="1:12" x14ac:dyDescent="0.25">
      <c r="A143" t="s">
        <v>61</v>
      </c>
      <c r="E143" s="3">
        <v>27042</v>
      </c>
    </row>
    <row r="144" spans="1:12" x14ac:dyDescent="0.25">
      <c r="A144" t="s">
        <v>62</v>
      </c>
      <c r="E144" s="3">
        <v>257</v>
      </c>
    </row>
    <row r="145" spans="1:7" x14ac:dyDescent="0.25">
      <c r="A145" t="s">
        <v>170</v>
      </c>
      <c r="E145" s="3">
        <f>2986+2221</f>
        <v>5207</v>
      </c>
    </row>
    <row r="146" spans="1:7" x14ac:dyDescent="0.25">
      <c r="A146" t="s">
        <v>64</v>
      </c>
      <c r="E146" s="3">
        <f>7063+1875</f>
        <v>8938</v>
      </c>
    </row>
    <row r="147" spans="1:7" x14ac:dyDescent="0.25">
      <c r="A147" t="s">
        <v>66</v>
      </c>
      <c r="E147" s="3">
        <f>50+25+77+46+66</f>
        <v>264</v>
      </c>
    </row>
    <row r="148" spans="1:7" x14ac:dyDescent="0.25">
      <c r="A148" t="s">
        <v>67</v>
      </c>
      <c r="E148" s="3">
        <v>8</v>
      </c>
    </row>
    <row r="149" spans="1:7" x14ac:dyDescent="0.25">
      <c r="A149" t="s">
        <v>68</v>
      </c>
      <c r="E149" s="3">
        <v>126</v>
      </c>
    </row>
    <row r="150" spans="1:7" x14ac:dyDescent="0.25">
      <c r="A150" t="s">
        <v>69</v>
      </c>
      <c r="E150" s="3">
        <v>1052</v>
      </c>
    </row>
    <row r="151" spans="1:7" x14ac:dyDescent="0.25">
      <c r="A151" t="s">
        <v>70</v>
      </c>
      <c r="E151" s="3">
        <f>5384+1133</f>
        <v>6517</v>
      </c>
      <c r="G151" s="50"/>
    </row>
    <row r="152" spans="1:7" x14ac:dyDescent="0.25">
      <c r="A152" t="s">
        <v>71</v>
      </c>
      <c r="E152" s="3">
        <v>600</v>
      </c>
    </row>
    <row r="153" spans="1:7" x14ac:dyDescent="0.25">
      <c r="A153" t="s">
        <v>72</v>
      </c>
      <c r="E153" s="3">
        <v>1214</v>
      </c>
    </row>
    <row r="154" spans="1:7" x14ac:dyDescent="0.25">
      <c r="A154" t="s">
        <v>73</v>
      </c>
      <c r="E154" s="3">
        <v>1679</v>
      </c>
    </row>
    <row r="155" spans="1:7" x14ac:dyDescent="0.25">
      <c r="A155" t="s">
        <v>167</v>
      </c>
      <c r="E155" s="3">
        <v>1760</v>
      </c>
    </row>
    <row r="156" spans="1:7" x14ac:dyDescent="0.25">
      <c r="A156" t="s">
        <v>168</v>
      </c>
      <c r="E156" s="79">
        <v>1460</v>
      </c>
      <c r="F156" s="79"/>
    </row>
    <row r="157" spans="1:7" ht="15.75" thickBot="1" x14ac:dyDescent="0.3">
      <c r="A157" t="s">
        <v>153</v>
      </c>
      <c r="E157" s="47">
        <f>134000*4</f>
        <v>536000</v>
      </c>
      <c r="F157" s="79" t="s">
        <v>154</v>
      </c>
    </row>
    <row r="158" spans="1:7" ht="18.75" x14ac:dyDescent="0.3">
      <c r="E158" s="29">
        <f>SUM(E138:E157)</f>
        <v>806866</v>
      </c>
      <c r="F158" s="29"/>
    </row>
    <row r="160" spans="1:7" ht="38.25" thickBot="1" x14ac:dyDescent="0.35">
      <c r="A160" s="86" t="s">
        <v>88</v>
      </c>
      <c r="B160" s="83"/>
      <c r="C160" s="111"/>
      <c r="D160" s="84">
        <f xml:space="preserve"> D133</f>
        <v>14133502.4</v>
      </c>
      <c r="E160" s="85">
        <f>E133+E158</f>
        <v>16532010.5</v>
      </c>
      <c r="F160" s="105"/>
    </row>
    <row r="161" spans="1:6" ht="19.5" thickTop="1" x14ac:dyDescent="0.3">
      <c r="D161" s="28"/>
      <c r="E161" s="29"/>
      <c r="F161" s="29"/>
    </row>
    <row r="162" spans="1:6" ht="19.5" thickBot="1" x14ac:dyDescent="0.35">
      <c r="A162" s="369" t="s">
        <v>87</v>
      </c>
      <c r="B162" s="369"/>
      <c r="C162" s="369"/>
      <c r="D162" s="369"/>
      <c r="E162" s="82">
        <f>SUM(D160:E160)</f>
        <v>30665512.899999999</v>
      </c>
      <c r="F162" s="106"/>
    </row>
    <row r="163" spans="1:6" ht="15.75" thickTop="1" x14ac:dyDescent="0.25"/>
    <row r="165" spans="1:6" ht="15.75" x14ac:dyDescent="0.25">
      <c r="D165" s="87">
        <f>D160/E162</f>
        <v>0.46089241833616945</v>
      </c>
      <c r="E165" s="87">
        <f>E160/E162</f>
        <v>0.53910758166383055</v>
      </c>
      <c r="F165" s="107"/>
    </row>
    <row r="166" spans="1:6" ht="31.5" x14ac:dyDescent="0.25">
      <c r="D166" s="66" t="s">
        <v>141</v>
      </c>
      <c r="E166" s="66" t="s">
        <v>142</v>
      </c>
    </row>
    <row r="168" spans="1:6" ht="18.75" x14ac:dyDescent="0.3">
      <c r="A168" s="90" t="s">
        <v>110</v>
      </c>
      <c r="B168" s="3"/>
      <c r="C168" s="3"/>
      <c r="D168" s="3"/>
      <c r="E168"/>
    </row>
    <row r="169" spans="1:6" hidden="1" x14ac:dyDescent="0.25">
      <c r="B169" s="3"/>
      <c r="C169" s="3" t="s">
        <v>104</v>
      </c>
      <c r="D169" s="3" t="s">
        <v>105</v>
      </c>
      <c r="E169"/>
    </row>
    <row r="170" spans="1:6" hidden="1" x14ac:dyDescent="0.25">
      <c r="B170" s="3"/>
      <c r="C170" s="89">
        <v>0.75</v>
      </c>
      <c r="D170" s="89">
        <v>0.25</v>
      </c>
      <c r="E170"/>
    </row>
    <row r="171" spans="1:6" hidden="1" x14ac:dyDescent="0.25">
      <c r="A171" s="88" t="s">
        <v>96</v>
      </c>
      <c r="B171" s="3" t="s">
        <v>92</v>
      </c>
      <c r="C171" s="3" t="s">
        <v>107</v>
      </c>
      <c r="D171" s="3" t="s">
        <v>106</v>
      </c>
      <c r="E171"/>
    </row>
    <row r="172" spans="1:6" hidden="1" x14ac:dyDescent="0.25">
      <c r="A172" t="s">
        <v>89</v>
      </c>
      <c r="B172" s="3">
        <v>1606571</v>
      </c>
      <c r="C172" s="3">
        <v>1204929</v>
      </c>
      <c r="D172" s="3">
        <v>401643</v>
      </c>
      <c r="E172"/>
    </row>
    <row r="173" spans="1:6" hidden="1" x14ac:dyDescent="0.25">
      <c r="A173" t="s">
        <v>90</v>
      </c>
      <c r="B173" s="3">
        <v>8555373</v>
      </c>
      <c r="C173" s="3">
        <v>6416529</v>
      </c>
      <c r="D173" s="3">
        <v>2138843</v>
      </c>
      <c r="E173"/>
    </row>
    <row r="174" spans="1:6" hidden="1" x14ac:dyDescent="0.25">
      <c r="A174" t="s">
        <v>91</v>
      </c>
      <c r="B174" s="3">
        <f>18809146-B173-B172</f>
        <v>8647202</v>
      </c>
      <c r="C174" s="3">
        <f>14106859-C173-C172</f>
        <v>6485401</v>
      </c>
      <c r="D174" s="3">
        <f>4702286-D172-D173</f>
        <v>2161800</v>
      </c>
      <c r="E174"/>
    </row>
    <row r="175" spans="1:6" hidden="1" x14ac:dyDescent="0.25">
      <c r="A175" t="s">
        <v>93</v>
      </c>
      <c r="B175" s="3"/>
      <c r="C175" s="3"/>
      <c r="D175" s="3"/>
      <c r="E175"/>
    </row>
    <row r="176" spans="1:6" hidden="1" x14ac:dyDescent="0.25">
      <c r="A176" t="s">
        <v>94</v>
      </c>
      <c r="B176" s="3"/>
      <c r="C176" s="3"/>
      <c r="D176" s="3"/>
      <c r="E176"/>
    </row>
    <row r="177" spans="1:8" hidden="1" x14ac:dyDescent="0.25">
      <c r="A177" t="s">
        <v>95</v>
      </c>
      <c r="B177" s="3"/>
      <c r="C177" s="3"/>
      <c r="D177" s="3"/>
      <c r="E177"/>
    </row>
    <row r="178" spans="1:8" hidden="1" x14ac:dyDescent="0.25">
      <c r="B178" s="3">
        <f>SUM(B172:B177)</f>
        <v>18809146</v>
      </c>
      <c r="C178" s="3"/>
      <c r="D178" s="3"/>
      <c r="E178"/>
    </row>
    <row r="179" spans="1:8" hidden="1" x14ac:dyDescent="0.25">
      <c r="A179" s="88" t="s">
        <v>98</v>
      </c>
      <c r="B179" s="3"/>
      <c r="C179" s="3"/>
      <c r="D179" s="3"/>
      <c r="E179"/>
    </row>
    <row r="180" spans="1:8" hidden="1" x14ac:dyDescent="0.25">
      <c r="A180" t="s">
        <v>99</v>
      </c>
      <c r="B180" s="3">
        <v>52500</v>
      </c>
      <c r="C180" s="3"/>
      <c r="D180" s="3"/>
      <c r="E180"/>
    </row>
    <row r="181" spans="1:8" hidden="1" x14ac:dyDescent="0.25">
      <c r="A181" t="s">
        <v>100</v>
      </c>
      <c r="B181" s="3">
        <v>150000</v>
      </c>
      <c r="C181" s="3"/>
      <c r="D181" s="3"/>
      <c r="E181"/>
    </row>
    <row r="182" spans="1:8" hidden="1" x14ac:dyDescent="0.25">
      <c r="A182" t="s">
        <v>101</v>
      </c>
      <c r="B182" s="3">
        <v>150000</v>
      </c>
      <c r="C182" s="3"/>
      <c r="D182" s="3"/>
      <c r="E182"/>
    </row>
    <row r="183" spans="1:8" hidden="1" x14ac:dyDescent="0.25">
      <c r="A183" t="s">
        <v>102</v>
      </c>
      <c r="B183" s="3">
        <v>112500</v>
      </c>
      <c r="C183" s="3"/>
      <c r="D183" s="3"/>
      <c r="E183"/>
    </row>
    <row r="184" spans="1:8" hidden="1" x14ac:dyDescent="0.25">
      <c r="A184" t="s">
        <v>103</v>
      </c>
      <c r="B184" s="3">
        <v>75000</v>
      </c>
      <c r="C184" s="3"/>
      <c r="D184" s="3"/>
      <c r="E184"/>
    </row>
    <row r="185" spans="1:8" hidden="1" x14ac:dyDescent="0.25">
      <c r="B185" s="3">
        <f>SUM(B180:B184)</f>
        <v>540000</v>
      </c>
      <c r="C185" s="3"/>
      <c r="D185" s="3"/>
      <c r="E185"/>
    </row>
    <row r="186" spans="1:8" hidden="1" x14ac:dyDescent="0.25">
      <c r="B186" s="3"/>
      <c r="C186" s="3"/>
      <c r="D186" s="3"/>
      <c r="E186"/>
    </row>
    <row r="187" spans="1:8" hidden="1" x14ac:dyDescent="0.25">
      <c r="B187" s="3"/>
      <c r="C187" s="3"/>
      <c r="D187" s="3"/>
      <c r="E187"/>
    </row>
    <row r="188" spans="1:8" hidden="1" x14ac:dyDescent="0.25">
      <c r="A188" t="s">
        <v>97</v>
      </c>
      <c r="B188" s="3">
        <v>500000</v>
      </c>
      <c r="C188" s="3"/>
      <c r="D188" s="3"/>
      <c r="E188"/>
      <c r="H188" s="3">
        <f>SUM(B200:G200)</f>
        <v>38685146</v>
      </c>
    </row>
    <row r="189" spans="1:8" hidden="1" x14ac:dyDescent="0.25">
      <c r="B189" s="3"/>
      <c r="C189" s="3"/>
      <c r="D189" s="3"/>
      <c r="E189"/>
      <c r="H189" s="3">
        <f>SUM(B201:G201)</f>
        <v>777500</v>
      </c>
    </row>
    <row r="190" spans="1:8" hidden="1" x14ac:dyDescent="0.25">
      <c r="A190" s="88" t="s">
        <v>109</v>
      </c>
      <c r="B190" s="3"/>
      <c r="C190" s="3"/>
      <c r="D190" s="3"/>
      <c r="E190"/>
      <c r="H190" s="79">
        <f>SUM(B202:G202)</f>
        <v>500000</v>
      </c>
    </row>
    <row r="191" spans="1:8" hidden="1" x14ac:dyDescent="0.25">
      <c r="A191" t="s">
        <v>99</v>
      </c>
      <c r="B191" s="3">
        <v>6052500</v>
      </c>
      <c r="C191" s="3"/>
      <c r="D191" s="3"/>
      <c r="E191"/>
      <c r="H191" s="79">
        <f>SUM(B203:G203)</f>
        <v>345808</v>
      </c>
    </row>
    <row r="192" spans="1:8" ht="18.75" hidden="1" x14ac:dyDescent="0.3">
      <c r="A192" t="s">
        <v>100</v>
      </c>
      <c r="B192" s="3">
        <v>6525000</v>
      </c>
      <c r="C192" s="3"/>
      <c r="D192" s="3"/>
      <c r="E192"/>
      <c r="H192" s="119"/>
    </row>
    <row r="193" spans="1:9" ht="18.75" hidden="1" x14ac:dyDescent="0.3">
      <c r="A193" t="s">
        <v>101</v>
      </c>
      <c r="B193" s="3">
        <v>5900000</v>
      </c>
      <c r="C193" s="3"/>
      <c r="D193" s="3"/>
      <c r="E193"/>
      <c r="H193" s="29" t="s">
        <v>108</v>
      </c>
    </row>
    <row r="194" spans="1:9" ht="18.75" hidden="1" x14ac:dyDescent="0.3">
      <c r="A194" t="s">
        <v>102</v>
      </c>
      <c r="B194" s="3">
        <v>5550000</v>
      </c>
      <c r="C194" s="3"/>
      <c r="D194" s="3"/>
      <c r="E194"/>
      <c r="H194" s="29">
        <f>SUM(H188:H193)</f>
        <v>40308454</v>
      </c>
    </row>
    <row r="195" spans="1:9" hidden="1" x14ac:dyDescent="0.25">
      <c r="A195" t="s">
        <v>103</v>
      </c>
      <c r="B195" s="3">
        <v>7000000</v>
      </c>
      <c r="C195" s="3"/>
      <c r="D195" s="3"/>
      <c r="E195"/>
      <c r="I195" s="50"/>
    </row>
    <row r="196" spans="1:9" hidden="1" x14ac:dyDescent="0.25">
      <c r="B196" s="3">
        <f>SUM(B191:B195)</f>
        <v>31027500</v>
      </c>
      <c r="C196" s="3"/>
      <c r="D196" s="3"/>
      <c r="E196"/>
    </row>
    <row r="197" spans="1:9" hidden="1" x14ac:dyDescent="0.25">
      <c r="B197" s="3"/>
      <c r="C197" s="3"/>
      <c r="D197" s="3"/>
      <c r="E197"/>
    </row>
    <row r="198" spans="1:9" hidden="1" x14ac:dyDescent="0.25">
      <c r="B198" s="3"/>
      <c r="C198" s="3"/>
      <c r="D198" s="3"/>
    </row>
    <row r="199" spans="1:9" ht="45.75" thickBot="1" x14ac:dyDescent="0.3">
      <c r="B199" s="118" t="s">
        <v>147</v>
      </c>
      <c r="C199" s="118" t="s">
        <v>146</v>
      </c>
      <c r="D199" s="118" t="s">
        <v>148</v>
      </c>
      <c r="E199" s="118" t="s">
        <v>149</v>
      </c>
      <c r="F199" s="118" t="s">
        <v>150</v>
      </c>
      <c r="G199" s="118" t="s">
        <v>151</v>
      </c>
    </row>
    <row r="200" spans="1:9" x14ac:dyDescent="0.25">
      <c r="A200" s="88" t="s">
        <v>96</v>
      </c>
      <c r="B200" s="3">
        <f>B172</f>
        <v>1606571</v>
      </c>
      <c r="C200" s="3">
        <f>B173</f>
        <v>8555373</v>
      </c>
      <c r="D200" s="3">
        <f>B174</f>
        <v>8647202</v>
      </c>
      <c r="E200" s="121">
        <f>5250000+1750000</f>
        <v>7000000</v>
      </c>
      <c r="F200" s="3">
        <f>5438000+1813000</f>
        <v>7251000</v>
      </c>
      <c r="G200" s="3">
        <f>0.75*(5625000+1875000)</f>
        <v>5625000</v>
      </c>
    </row>
    <row r="201" spans="1:9" x14ac:dyDescent="0.25">
      <c r="A201" s="88" t="s">
        <v>98</v>
      </c>
      <c r="B201" s="3">
        <f>B180</f>
        <v>52500</v>
      </c>
      <c r="C201" s="3">
        <f>B181</f>
        <v>150000</v>
      </c>
      <c r="D201" s="3">
        <f>B182</f>
        <v>150000</v>
      </c>
      <c r="E201" s="3">
        <v>200000</v>
      </c>
      <c r="F201" s="3">
        <f>112500+37500</f>
        <v>150000</v>
      </c>
      <c r="G201" s="3">
        <f>0.75*(75000+25000)</f>
        <v>75000</v>
      </c>
    </row>
    <row r="202" spans="1:9" x14ac:dyDescent="0.25">
      <c r="A202" s="88" t="s">
        <v>97</v>
      </c>
      <c r="B202" s="79"/>
      <c r="C202" s="79"/>
      <c r="D202" s="79">
        <f>B188</f>
        <v>500000</v>
      </c>
      <c r="E202" s="117"/>
      <c r="F202" s="79"/>
      <c r="G202" s="79"/>
    </row>
    <row r="203" spans="1:9" ht="15.75" thickBot="1" x14ac:dyDescent="0.3">
      <c r="A203" s="88" t="s">
        <v>137</v>
      </c>
      <c r="B203" s="91"/>
      <c r="C203" s="118"/>
      <c r="D203" s="47">
        <v>48448</v>
      </c>
      <c r="E203" s="47">
        <v>73920</v>
      </c>
      <c r="F203" s="47">
        <v>104160</v>
      </c>
      <c r="G203" s="47">
        <v>119280</v>
      </c>
    </row>
    <row r="204" spans="1:9" ht="18.75" x14ac:dyDescent="0.3">
      <c r="A204" s="88"/>
      <c r="B204" s="119">
        <f>SUM(B200:B203)</f>
        <v>1659071</v>
      </c>
      <c r="C204" s="119">
        <f t="shared" ref="C204:D204" si="4">SUM(C200:C203)</f>
        <v>8705373</v>
      </c>
      <c r="D204" s="119">
        <f t="shared" si="4"/>
        <v>9345650</v>
      </c>
      <c r="E204" s="119">
        <f>SUM(E200:E203)</f>
        <v>7273920</v>
      </c>
      <c r="F204" s="119">
        <f t="shared" ref="F204" si="5">SUM(F200:F203)</f>
        <v>7505160</v>
      </c>
      <c r="G204" s="119">
        <f t="shared" ref="G204" si="6">SUM(G200:G203)</f>
        <v>5819280</v>
      </c>
    </row>
    <row r="205" spans="1:9" ht="18.75" x14ac:dyDescent="0.3">
      <c r="B205" s="29"/>
      <c r="C205" s="29"/>
      <c r="D205" s="120" t="s">
        <v>108</v>
      </c>
      <c r="E205" s="29"/>
      <c r="F205" s="29"/>
      <c r="G205" s="29"/>
    </row>
    <row r="206" spans="1:9" ht="18.75" x14ac:dyDescent="0.3">
      <c r="B206" s="29"/>
      <c r="C206" s="29"/>
      <c r="D206" s="120">
        <f>SUM(B204:G204)</f>
        <v>40308454</v>
      </c>
      <c r="E206" s="27"/>
      <c r="F206" s="29"/>
      <c r="G206" s="29"/>
    </row>
    <row r="207" spans="1:9" x14ac:dyDescent="0.25">
      <c r="B207" s="3"/>
      <c r="D207" s="3"/>
      <c r="G207"/>
    </row>
    <row r="208" spans="1:9" ht="15.75" thickBot="1" x14ac:dyDescent="0.3">
      <c r="B208" s="3"/>
      <c r="D208" s="3"/>
      <c r="G208"/>
    </row>
    <row r="209" spans="1:7" ht="15.75" x14ac:dyDescent="0.25">
      <c r="A209" s="122" t="s">
        <v>143</v>
      </c>
      <c r="B209" s="123">
        <f>-E162</f>
        <v>-30665512.899999999</v>
      </c>
    </row>
    <row r="210" spans="1:7" ht="16.5" thickBot="1" x14ac:dyDescent="0.3">
      <c r="A210" s="124" t="s">
        <v>144</v>
      </c>
      <c r="B210" s="125">
        <f>D206</f>
        <v>40308454</v>
      </c>
    </row>
    <row r="211" spans="1:7" ht="16.5" thickBot="1" x14ac:dyDescent="0.3">
      <c r="A211" s="126" t="s">
        <v>145</v>
      </c>
      <c r="B211" s="125">
        <f>B209+B210</f>
        <v>9642941.1000000015</v>
      </c>
    </row>
    <row r="212" spans="1:7" ht="15.75" thickBot="1" x14ac:dyDescent="0.3"/>
    <row r="213" spans="1:7" ht="15" customHeight="1" x14ac:dyDescent="0.25">
      <c r="A213" s="359" t="s">
        <v>171</v>
      </c>
      <c r="B213" s="360"/>
      <c r="C213" s="360"/>
      <c r="D213" s="360"/>
      <c r="E213" s="360"/>
      <c r="F213" s="361"/>
      <c r="G213" s="128"/>
    </row>
    <row r="214" spans="1:7" ht="15" customHeight="1" x14ac:dyDescent="0.25">
      <c r="A214" s="362"/>
      <c r="B214" s="363"/>
      <c r="C214" s="363"/>
      <c r="D214" s="363"/>
      <c r="E214" s="363"/>
      <c r="F214" s="364"/>
      <c r="G214" s="128"/>
    </row>
    <row r="215" spans="1:7" ht="15" customHeight="1" x14ac:dyDescent="0.25">
      <c r="A215" s="362"/>
      <c r="B215" s="363"/>
      <c r="C215" s="363"/>
      <c r="D215" s="363"/>
      <c r="E215" s="363"/>
      <c r="F215" s="364"/>
      <c r="G215" s="128"/>
    </row>
    <row r="216" spans="1:7" ht="15" customHeight="1" x14ac:dyDescent="0.25">
      <c r="A216" s="362"/>
      <c r="B216" s="363"/>
      <c r="C216" s="363"/>
      <c r="D216" s="363"/>
      <c r="E216" s="363"/>
      <c r="F216" s="364"/>
      <c r="G216" s="128"/>
    </row>
    <row r="217" spans="1:7" ht="15" customHeight="1" thickBot="1" x14ac:dyDescent="0.3">
      <c r="A217" s="365"/>
      <c r="B217" s="366"/>
      <c r="C217" s="366"/>
      <c r="D217" s="366"/>
      <c r="E217" s="366"/>
      <c r="F217" s="367"/>
      <c r="G217" s="128"/>
    </row>
    <row r="218" spans="1:7" ht="15" customHeight="1" x14ac:dyDescent="0.25">
      <c r="A218" s="128"/>
      <c r="B218" s="128"/>
      <c r="C218" s="128"/>
      <c r="D218" s="128"/>
      <c r="E218" s="128"/>
      <c r="F218" s="128"/>
      <c r="G218" s="128"/>
    </row>
    <row r="219" spans="1:7" ht="15" customHeight="1" x14ac:dyDescent="0.25">
      <c r="A219" s="128"/>
      <c r="B219" s="128"/>
      <c r="C219" s="128"/>
      <c r="D219" s="128"/>
      <c r="E219" s="128"/>
      <c r="F219" s="128"/>
      <c r="G219" s="128"/>
    </row>
  </sheetData>
  <mergeCells count="6">
    <mergeCell ref="H134:K141"/>
    <mergeCell ref="A213:F217"/>
    <mergeCell ref="D42:E42"/>
    <mergeCell ref="D77:E77"/>
    <mergeCell ref="D108:E108"/>
    <mergeCell ref="A162:D162"/>
  </mergeCells>
  <pageMargins left="0.7" right="0.7" top="0.75" bottom="0.75" header="0.3" footer="0.3"/>
  <pageSetup scale="5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7"/>
  <sheetViews>
    <sheetView topLeftCell="A112" workbookViewId="0">
      <selection activeCell="A204" sqref="A1:XFD1048576"/>
    </sheetView>
  </sheetViews>
  <sheetFormatPr defaultRowHeight="15" x14ac:dyDescent="0.25"/>
  <cols>
    <col min="1" max="1" width="49" customWidth="1"/>
    <col min="2" max="2" width="15.7109375" customWidth="1"/>
    <col min="3" max="3" width="15.140625" style="22" customWidth="1"/>
    <col min="4" max="4" width="16.7109375" style="2" customWidth="1"/>
    <col min="5" max="5" width="18.5703125" style="3" customWidth="1"/>
    <col min="6" max="6" width="15.140625" style="3" customWidth="1"/>
    <col min="7" max="7" width="15.42578125" style="3" customWidth="1"/>
    <col min="8" max="8" width="20" style="3" customWidth="1"/>
    <col min="9" max="9" width="15.85546875" style="3" customWidth="1"/>
    <col min="10" max="10" width="13.7109375" style="3" bestFit="1" customWidth="1"/>
  </cols>
  <sheetData>
    <row r="1" spans="1:10" x14ac:dyDescent="0.25">
      <c r="A1" s="8" t="s">
        <v>30</v>
      </c>
    </row>
    <row r="3" spans="1:10" s="9" customFormat="1" ht="60.75" x14ac:dyDescent="0.3">
      <c r="A3" s="15" t="s">
        <v>50</v>
      </c>
      <c r="B3" s="16"/>
      <c r="C3" s="108" t="s">
        <v>138</v>
      </c>
      <c r="D3" s="17" t="s">
        <v>77</v>
      </c>
      <c r="E3" s="17" t="s">
        <v>78</v>
      </c>
      <c r="F3" s="17" t="s">
        <v>139</v>
      </c>
      <c r="G3" s="17"/>
      <c r="H3" s="18" t="s">
        <v>38</v>
      </c>
      <c r="I3" s="92" t="s">
        <v>112</v>
      </c>
      <c r="J3" s="17" t="s">
        <v>140</v>
      </c>
    </row>
    <row r="4" spans="1:10" ht="18.75" x14ac:dyDescent="0.3">
      <c r="A4" s="5"/>
      <c r="B4" s="21"/>
      <c r="E4" s="2"/>
      <c r="F4" s="2"/>
      <c r="G4" s="116"/>
      <c r="I4" s="2"/>
    </row>
    <row r="5" spans="1:10" ht="36" customHeight="1" thickBot="1" x14ac:dyDescent="0.3">
      <c r="A5" s="19" t="s">
        <v>52</v>
      </c>
      <c r="B5" s="35"/>
      <c r="G5" s="22"/>
    </row>
    <row r="6" spans="1:10" ht="15.75" thickTop="1" x14ac:dyDescent="0.25">
      <c r="A6" s="4" t="s">
        <v>15</v>
      </c>
      <c r="B6" s="35"/>
      <c r="D6" s="24"/>
      <c r="E6" s="25">
        <v>500000</v>
      </c>
      <c r="F6" s="79">
        <v>500000</v>
      </c>
      <c r="G6" s="31"/>
    </row>
    <row r="7" spans="1:10" x14ac:dyDescent="0.25">
      <c r="A7" s="4"/>
      <c r="B7" s="35"/>
      <c r="D7" s="24"/>
      <c r="E7" s="25"/>
      <c r="F7" s="79"/>
      <c r="G7" s="31"/>
    </row>
    <row r="8" spans="1:10" x14ac:dyDescent="0.25">
      <c r="A8" s="6" t="s">
        <v>26</v>
      </c>
      <c r="B8" s="35"/>
      <c r="D8" s="24"/>
      <c r="E8" s="25"/>
      <c r="F8" s="79"/>
      <c r="G8" s="31"/>
    </row>
    <row r="9" spans="1:10" x14ac:dyDescent="0.25">
      <c r="A9" s="42" t="s">
        <v>16</v>
      </c>
      <c r="B9" s="35"/>
      <c r="D9" s="24"/>
      <c r="E9" s="25">
        <v>89000</v>
      </c>
      <c r="F9" s="79"/>
      <c r="G9" s="31"/>
    </row>
    <row r="10" spans="1:10" x14ac:dyDescent="0.25">
      <c r="A10" s="42" t="s">
        <v>17</v>
      </c>
      <c r="B10" s="35"/>
      <c r="D10" s="24"/>
      <c r="E10" s="25">
        <v>567303</v>
      </c>
      <c r="F10" s="79"/>
      <c r="G10" s="31"/>
    </row>
    <row r="11" spans="1:10" ht="30" x14ac:dyDescent="0.25">
      <c r="A11" s="43" t="s">
        <v>161</v>
      </c>
      <c r="B11" s="35"/>
      <c r="D11" s="24"/>
      <c r="E11" s="25">
        <v>58000</v>
      </c>
      <c r="F11" s="79"/>
      <c r="G11" s="31"/>
    </row>
    <row r="12" spans="1:10" ht="15.75" thickBot="1" x14ac:dyDescent="0.3">
      <c r="A12" s="42" t="s">
        <v>19</v>
      </c>
      <c r="B12" s="35"/>
      <c r="D12" s="24"/>
      <c r="E12" s="130">
        <v>35000</v>
      </c>
      <c r="F12" s="79"/>
      <c r="G12" s="31"/>
    </row>
    <row r="13" spans="1:10" x14ac:dyDescent="0.25">
      <c r="A13" s="1"/>
      <c r="B13" s="35"/>
      <c r="D13" s="24"/>
      <c r="E13" s="69" t="s">
        <v>162</v>
      </c>
      <c r="F13" s="79">
        <f>SUM(E9:E12)</f>
        <v>749303</v>
      </c>
      <c r="G13" s="31"/>
    </row>
    <row r="14" spans="1:10" x14ac:dyDescent="0.25">
      <c r="A14" s="6" t="s">
        <v>25</v>
      </c>
      <c r="B14" s="35"/>
      <c r="D14" s="24"/>
      <c r="E14" s="25"/>
      <c r="F14" s="79"/>
      <c r="G14" s="31"/>
    </row>
    <row r="15" spans="1:10" x14ac:dyDescent="0.25">
      <c r="A15" s="46" t="s">
        <v>113</v>
      </c>
      <c r="B15" s="35"/>
      <c r="D15" s="24"/>
      <c r="E15" s="25">
        <v>1028214</v>
      </c>
      <c r="F15" s="79"/>
      <c r="G15" s="31"/>
    </row>
    <row r="16" spans="1:10" x14ac:dyDescent="0.25">
      <c r="A16" s="46" t="s">
        <v>114</v>
      </c>
      <c r="B16" s="35"/>
      <c r="D16" s="24"/>
      <c r="E16" s="25">
        <f>0.1*E15</f>
        <v>102821.40000000001</v>
      </c>
      <c r="F16" s="79"/>
      <c r="G16" s="31"/>
    </row>
    <row r="17" spans="1:10" x14ac:dyDescent="0.25">
      <c r="A17" s="42" t="s">
        <v>25</v>
      </c>
      <c r="B17" s="35"/>
      <c r="D17" s="24">
        <v>1893714</v>
      </c>
      <c r="E17" s="25"/>
      <c r="F17" s="79"/>
      <c r="G17" s="31"/>
    </row>
    <row r="18" spans="1:10" x14ac:dyDescent="0.25">
      <c r="A18" s="42" t="s">
        <v>29</v>
      </c>
      <c r="B18" s="35"/>
      <c r="D18" s="24">
        <f>0.1*D17</f>
        <v>189371.40000000002</v>
      </c>
      <c r="E18" s="25"/>
      <c r="F18" s="79"/>
      <c r="G18" s="31"/>
      <c r="J18" s="3">
        <f>D18</f>
        <v>189371.40000000002</v>
      </c>
    </row>
    <row r="19" spans="1:10" ht="15.75" thickBot="1" x14ac:dyDescent="0.3">
      <c r="A19" s="42" t="s">
        <v>115</v>
      </c>
      <c r="B19" s="35"/>
      <c r="D19" s="129">
        <v>19444</v>
      </c>
      <c r="E19" s="130">
        <v>19444</v>
      </c>
      <c r="F19" s="79"/>
      <c r="G19" s="31"/>
    </row>
    <row r="20" spans="1:10" x14ac:dyDescent="0.25">
      <c r="A20" s="4"/>
      <c r="B20" s="35"/>
      <c r="C20" s="22">
        <f>SUM(D17:D19)</f>
        <v>2102529.4</v>
      </c>
      <c r="D20" s="68" t="s">
        <v>164</v>
      </c>
      <c r="E20" s="69" t="s">
        <v>162</v>
      </c>
      <c r="F20" s="79">
        <f>SUM(E15:E19)</f>
        <v>1150479.3999999999</v>
      </c>
      <c r="G20" s="31"/>
    </row>
    <row r="21" spans="1:10" x14ac:dyDescent="0.25">
      <c r="A21" s="4"/>
      <c r="B21" s="35"/>
      <c r="D21" s="24"/>
      <c r="E21" s="25"/>
      <c r="F21" s="79"/>
      <c r="G21" s="31"/>
    </row>
    <row r="22" spans="1:10" x14ac:dyDescent="0.25">
      <c r="A22" s="44" t="s">
        <v>28</v>
      </c>
      <c r="B22" s="35"/>
      <c r="D22" s="24"/>
      <c r="E22" s="25"/>
      <c r="F22" s="79"/>
      <c r="G22" s="31"/>
    </row>
    <row r="23" spans="1:10" x14ac:dyDescent="0.25">
      <c r="A23" s="42" t="s">
        <v>6</v>
      </c>
      <c r="B23" s="35"/>
      <c r="D23" s="24"/>
      <c r="E23" s="25">
        <v>332000</v>
      </c>
      <c r="F23" s="79"/>
      <c r="G23" s="31" t="s">
        <v>124</v>
      </c>
    </row>
    <row r="24" spans="1:10" x14ac:dyDescent="0.25">
      <c r="A24" s="42" t="s">
        <v>116</v>
      </c>
      <c r="B24" s="35"/>
      <c r="D24" s="24"/>
      <c r="E24" s="25">
        <f>0.15*E23</f>
        <v>49800</v>
      </c>
      <c r="F24" s="79"/>
      <c r="G24" s="31" t="s">
        <v>136</v>
      </c>
      <c r="J24" s="3">
        <v>49800</v>
      </c>
    </row>
    <row r="25" spans="1:10" x14ac:dyDescent="0.25">
      <c r="A25" s="45" t="s">
        <v>20</v>
      </c>
      <c r="B25" s="35"/>
      <c r="D25" s="24"/>
      <c r="E25" s="25">
        <v>59167</v>
      </c>
      <c r="F25" s="79"/>
      <c r="G25" s="31" t="s">
        <v>125</v>
      </c>
    </row>
    <row r="26" spans="1:10" x14ac:dyDescent="0.25">
      <c r="A26" s="45" t="s">
        <v>21</v>
      </c>
      <c r="B26" s="35"/>
      <c r="D26" s="24"/>
      <c r="E26" s="25">
        <v>16271</v>
      </c>
      <c r="F26" s="79"/>
      <c r="G26" s="31" t="s">
        <v>126</v>
      </c>
    </row>
    <row r="27" spans="1:10" x14ac:dyDescent="0.25">
      <c r="A27" s="45" t="s">
        <v>117</v>
      </c>
      <c r="B27" s="35"/>
      <c r="D27" s="24"/>
      <c r="E27" s="25">
        <v>40000</v>
      </c>
      <c r="F27" s="79"/>
      <c r="G27" s="31" t="s">
        <v>127</v>
      </c>
    </row>
    <row r="28" spans="1:10" x14ac:dyDescent="0.25">
      <c r="A28" s="45" t="s">
        <v>23</v>
      </c>
      <c r="B28" s="35"/>
      <c r="D28" s="24"/>
      <c r="E28" s="25">
        <v>50000</v>
      </c>
      <c r="F28" s="79"/>
      <c r="G28" s="31" t="s">
        <v>128</v>
      </c>
    </row>
    <row r="29" spans="1:10" x14ac:dyDescent="0.25">
      <c r="A29" s="45" t="s">
        <v>24</v>
      </c>
      <c r="B29" s="35"/>
      <c r="D29" s="24"/>
      <c r="E29" s="25">
        <v>10000</v>
      </c>
      <c r="F29" s="79"/>
      <c r="G29" s="31" t="s">
        <v>129</v>
      </c>
    </row>
    <row r="30" spans="1:10" x14ac:dyDescent="0.25">
      <c r="A30" s="45" t="s">
        <v>118</v>
      </c>
      <c r="B30" s="35"/>
      <c r="D30" s="24"/>
      <c r="E30" s="25">
        <v>90000</v>
      </c>
      <c r="F30" s="79"/>
      <c r="G30" s="20" t="s">
        <v>131</v>
      </c>
    </row>
    <row r="31" spans="1:10" x14ac:dyDescent="0.25">
      <c r="A31" s="45" t="s">
        <v>119</v>
      </c>
      <c r="B31" s="35"/>
      <c r="D31" s="24"/>
      <c r="E31" s="25">
        <v>100000</v>
      </c>
      <c r="F31" s="79"/>
      <c r="G31" s="20" t="s">
        <v>132</v>
      </c>
    </row>
    <row r="32" spans="1:10" x14ac:dyDescent="0.25">
      <c r="A32" s="93" t="s">
        <v>120</v>
      </c>
      <c r="B32" s="35"/>
      <c r="D32" s="24"/>
      <c r="E32" s="25">
        <v>2500</v>
      </c>
      <c r="F32" s="79"/>
      <c r="G32" s="20" t="s">
        <v>133</v>
      </c>
    </row>
    <row r="33" spans="1:10" x14ac:dyDescent="0.25">
      <c r="A33" s="93" t="s">
        <v>121</v>
      </c>
      <c r="B33" s="35"/>
      <c r="D33" s="24"/>
      <c r="E33" s="25">
        <v>100</v>
      </c>
      <c r="F33" s="79"/>
      <c r="G33" s="20" t="s">
        <v>134</v>
      </c>
    </row>
    <row r="34" spans="1:10" x14ac:dyDescent="0.25">
      <c r="A34" s="93" t="s">
        <v>122</v>
      </c>
      <c r="B34" s="35"/>
      <c r="D34" s="24"/>
      <c r="E34" s="25">
        <v>20000</v>
      </c>
      <c r="F34" s="79"/>
      <c r="G34" s="20" t="s">
        <v>135</v>
      </c>
    </row>
    <row r="35" spans="1:10" ht="15.75" thickBot="1" x14ac:dyDescent="0.3">
      <c r="A35" s="93" t="s">
        <v>123</v>
      </c>
      <c r="B35" s="35"/>
      <c r="D35" s="24"/>
      <c r="E35" s="130">
        <v>115476</v>
      </c>
      <c r="F35" s="79"/>
      <c r="G35" s="31" t="s">
        <v>130</v>
      </c>
      <c r="J35" s="3">
        <v>115476</v>
      </c>
    </row>
    <row r="36" spans="1:10" x14ac:dyDescent="0.25">
      <c r="A36" s="7"/>
      <c r="B36" s="35"/>
      <c r="D36" s="24"/>
      <c r="E36" s="69" t="s">
        <v>163</v>
      </c>
      <c r="F36" s="79">
        <f>SUM(E23:E35)</f>
        <v>885314</v>
      </c>
      <c r="G36" s="31"/>
    </row>
    <row r="37" spans="1:10" x14ac:dyDescent="0.25">
      <c r="A37" s="6" t="s">
        <v>40</v>
      </c>
      <c r="B37" s="35"/>
      <c r="D37" s="24"/>
      <c r="E37" s="25"/>
      <c r="F37" s="79"/>
      <c r="G37" s="31"/>
    </row>
    <row r="38" spans="1:10" ht="45" x14ac:dyDescent="0.25">
      <c r="A38" s="71" t="s">
        <v>39</v>
      </c>
      <c r="B38" s="35"/>
      <c r="D38" s="72"/>
      <c r="E38" s="73">
        <v>2000000</v>
      </c>
      <c r="F38" s="79">
        <v>2000000</v>
      </c>
      <c r="G38" s="31"/>
      <c r="H38" s="2" t="s">
        <v>111</v>
      </c>
      <c r="I38" s="3">
        <v>500000</v>
      </c>
    </row>
    <row r="39" spans="1:10" s="53" customFormat="1" ht="15.75" x14ac:dyDescent="0.25">
      <c r="A39" s="74" t="s">
        <v>85</v>
      </c>
      <c r="B39" s="75"/>
      <c r="C39" s="112">
        <f>SUM(C11:C38)</f>
        <v>2102529.4</v>
      </c>
      <c r="D39" s="56">
        <f>SUM(D6:D38)</f>
        <v>2102529.4</v>
      </c>
      <c r="E39" s="56">
        <f>SUM(E6:E38)</f>
        <v>5285096.4000000004</v>
      </c>
      <c r="F39" s="98">
        <f>SUM(F6:F38)</f>
        <v>5285096.4000000004</v>
      </c>
      <c r="G39" s="51"/>
      <c r="H39" s="52"/>
      <c r="I39" s="52"/>
      <c r="J39" s="52"/>
    </row>
    <row r="40" spans="1:10" s="53" customFormat="1" ht="15.75" x14ac:dyDescent="0.25">
      <c r="A40" s="76" t="s">
        <v>79</v>
      </c>
      <c r="B40" s="77"/>
      <c r="C40" s="115"/>
      <c r="D40" s="368">
        <f>D39+E39</f>
        <v>7387625.8000000007</v>
      </c>
      <c r="E40" s="368"/>
      <c r="F40" s="99"/>
      <c r="G40" s="51"/>
      <c r="H40" s="52"/>
      <c r="I40" s="52"/>
      <c r="J40" s="52"/>
    </row>
    <row r="41" spans="1:10" s="53" customFormat="1" ht="15.75" x14ac:dyDescent="0.25">
      <c r="A41" s="54"/>
      <c r="B41" s="57"/>
      <c r="C41" s="58"/>
      <c r="D41" s="70"/>
      <c r="E41" s="70"/>
      <c r="F41" s="70"/>
      <c r="G41" s="51"/>
      <c r="H41" s="52"/>
      <c r="I41" s="52"/>
      <c r="J41" s="52"/>
    </row>
    <row r="42" spans="1:10" s="53" customFormat="1" ht="15.75" x14ac:dyDescent="0.25">
      <c r="A42" s="54"/>
      <c r="B42" s="57"/>
      <c r="C42" s="58"/>
      <c r="D42" s="70"/>
      <c r="E42" s="70"/>
      <c r="F42" s="70"/>
      <c r="G42" s="51"/>
      <c r="H42" s="52"/>
      <c r="I42" s="52"/>
      <c r="J42" s="52"/>
    </row>
    <row r="43" spans="1:10" x14ac:dyDescent="0.25">
      <c r="A43" s="14" t="s">
        <v>53</v>
      </c>
      <c r="B43" s="35"/>
      <c r="D43" s="24"/>
      <c r="E43" s="25"/>
      <c r="F43" s="79"/>
      <c r="G43" s="31"/>
    </row>
    <row r="44" spans="1:10" x14ac:dyDescent="0.25">
      <c r="A44" s="46" t="s">
        <v>31</v>
      </c>
      <c r="B44" s="35"/>
      <c r="E44" s="68">
        <v>500000</v>
      </c>
      <c r="F44" s="78">
        <f>E44</f>
        <v>500000</v>
      </c>
      <c r="G44" s="31"/>
    </row>
    <row r="45" spans="1:10" x14ac:dyDescent="0.25">
      <c r="B45" s="35"/>
      <c r="D45" s="24"/>
      <c r="E45" s="25"/>
      <c r="F45" s="79"/>
      <c r="G45" s="31"/>
    </row>
    <row r="46" spans="1:10" x14ac:dyDescent="0.25">
      <c r="A46" s="6" t="s">
        <v>26</v>
      </c>
      <c r="B46" s="35"/>
      <c r="D46" s="24"/>
      <c r="E46" s="25"/>
      <c r="F46" s="79"/>
      <c r="G46" s="31"/>
    </row>
    <row r="47" spans="1:10" x14ac:dyDescent="0.25">
      <c r="A47" s="42" t="s">
        <v>16</v>
      </c>
      <c r="B47" s="35"/>
      <c r="D47" s="24"/>
      <c r="E47" s="25">
        <v>260000</v>
      </c>
      <c r="F47" s="79"/>
      <c r="G47" s="31"/>
    </row>
    <row r="48" spans="1:10" x14ac:dyDescent="0.25">
      <c r="A48" s="42" t="s">
        <v>17</v>
      </c>
      <c r="B48" s="35"/>
      <c r="D48" s="24"/>
      <c r="E48" s="25">
        <v>1794959</v>
      </c>
      <c r="F48" s="79"/>
      <c r="G48" s="31"/>
    </row>
    <row r="49" spans="1:10" ht="30" x14ac:dyDescent="0.25">
      <c r="A49" s="43" t="s">
        <v>18</v>
      </c>
      <c r="B49" s="35"/>
      <c r="D49" s="24"/>
      <c r="E49" s="25">
        <v>270000</v>
      </c>
      <c r="F49" s="79"/>
      <c r="G49" s="31"/>
    </row>
    <row r="50" spans="1:10" ht="15.75" thickBot="1" x14ac:dyDescent="0.3">
      <c r="A50" s="42" t="s">
        <v>19</v>
      </c>
      <c r="B50" s="35"/>
      <c r="D50" s="24"/>
      <c r="E50" s="130">
        <v>60000</v>
      </c>
      <c r="F50" s="79"/>
      <c r="G50" s="31"/>
    </row>
    <row r="51" spans="1:10" x14ac:dyDescent="0.25">
      <c r="A51" s="4"/>
      <c r="B51" s="35"/>
      <c r="D51" s="24"/>
      <c r="E51" s="69" t="s">
        <v>162</v>
      </c>
      <c r="F51" s="79">
        <f>SUM(E47:E50)</f>
        <v>2384959</v>
      </c>
      <c r="G51" s="31"/>
    </row>
    <row r="52" spans="1:10" x14ac:dyDescent="0.25">
      <c r="A52" s="6" t="s">
        <v>25</v>
      </c>
      <c r="B52" s="35"/>
      <c r="D52" s="24"/>
      <c r="E52" s="25"/>
      <c r="F52" s="79"/>
      <c r="G52" s="31"/>
    </row>
    <row r="53" spans="1:10" ht="30" x14ac:dyDescent="0.25">
      <c r="A53" s="46" t="s">
        <v>25</v>
      </c>
      <c r="B53" s="35"/>
      <c r="D53" s="24">
        <v>10659000</v>
      </c>
      <c r="E53" s="25"/>
      <c r="F53" s="79"/>
      <c r="G53" s="32"/>
      <c r="H53" s="10" t="s">
        <v>37</v>
      </c>
    </row>
    <row r="54" spans="1:10" x14ac:dyDescent="0.25">
      <c r="A54" s="46" t="s">
        <v>27</v>
      </c>
      <c r="B54" s="35"/>
      <c r="D54" s="24">
        <v>1065900</v>
      </c>
      <c r="E54" s="25"/>
      <c r="F54" s="79"/>
      <c r="G54" s="32"/>
    </row>
    <row r="55" spans="1:10" x14ac:dyDescent="0.25">
      <c r="B55" s="35"/>
      <c r="C55" s="22">
        <f>D54+D53</f>
        <v>11724900</v>
      </c>
      <c r="D55" s="24" t="s">
        <v>160</v>
      </c>
      <c r="E55" s="24"/>
      <c r="F55" s="78"/>
      <c r="G55" s="31"/>
    </row>
    <row r="56" spans="1:10" x14ac:dyDescent="0.25">
      <c r="B56" s="35"/>
      <c r="D56" s="24"/>
      <c r="E56" s="25"/>
      <c r="F56" s="79"/>
      <c r="G56" s="31"/>
    </row>
    <row r="57" spans="1:10" x14ac:dyDescent="0.25">
      <c r="A57" s="44" t="s">
        <v>28</v>
      </c>
      <c r="B57" s="35"/>
      <c r="D57" s="24"/>
      <c r="E57" s="25"/>
      <c r="F57" s="79"/>
      <c r="G57" s="31"/>
    </row>
    <row r="58" spans="1:10" x14ac:dyDescent="0.25">
      <c r="A58" s="42" t="s">
        <v>6</v>
      </c>
      <c r="B58" s="35"/>
      <c r="D58" s="24"/>
      <c r="E58" s="25">
        <v>930031</v>
      </c>
      <c r="F58" s="79"/>
      <c r="G58" s="31" t="s">
        <v>124</v>
      </c>
    </row>
    <row r="59" spans="1:10" x14ac:dyDescent="0.25">
      <c r="A59" s="42" t="s">
        <v>116</v>
      </c>
      <c r="B59" s="35"/>
      <c r="D59" s="24"/>
      <c r="E59" s="25">
        <f>0.15*E58</f>
        <v>139504.65</v>
      </c>
      <c r="F59" s="79"/>
      <c r="G59" s="31" t="s">
        <v>136</v>
      </c>
      <c r="J59" s="3">
        <v>139505</v>
      </c>
    </row>
    <row r="60" spans="1:10" x14ac:dyDescent="0.25">
      <c r="A60" s="45" t="s">
        <v>20</v>
      </c>
      <c r="B60" s="35"/>
      <c r="D60" s="24"/>
      <c r="E60" s="25">
        <v>120000</v>
      </c>
      <c r="F60" s="79"/>
      <c r="G60" s="31" t="s">
        <v>125</v>
      </c>
    </row>
    <row r="61" spans="1:10" x14ac:dyDescent="0.25">
      <c r="A61" s="45" t="s">
        <v>21</v>
      </c>
      <c r="B61" s="35"/>
      <c r="D61" s="24"/>
      <c r="E61" s="25">
        <v>93003</v>
      </c>
      <c r="F61" s="79"/>
      <c r="G61" s="31" t="s">
        <v>126</v>
      </c>
    </row>
    <row r="62" spans="1:10" x14ac:dyDescent="0.25">
      <c r="A62" s="45" t="s">
        <v>22</v>
      </c>
      <c r="B62" s="35"/>
      <c r="D62" s="24"/>
      <c r="E62" s="25">
        <v>200000</v>
      </c>
      <c r="F62" s="79"/>
      <c r="G62" s="31" t="s">
        <v>127</v>
      </c>
    </row>
    <row r="63" spans="1:10" x14ac:dyDescent="0.25">
      <c r="A63" s="45" t="s">
        <v>23</v>
      </c>
      <c r="B63" s="35"/>
      <c r="D63" s="24"/>
      <c r="E63" s="25">
        <v>300000</v>
      </c>
      <c r="F63" s="79"/>
      <c r="G63" s="31" t="s">
        <v>128</v>
      </c>
    </row>
    <row r="64" spans="1:10" x14ac:dyDescent="0.25">
      <c r="A64" s="45" t="s">
        <v>24</v>
      </c>
      <c r="B64" s="35"/>
      <c r="D64" s="24"/>
      <c r="E64" s="25">
        <v>5000</v>
      </c>
      <c r="F64" s="79"/>
      <c r="G64" s="31" t="s">
        <v>129</v>
      </c>
    </row>
    <row r="65" spans="1:10" x14ac:dyDescent="0.25">
      <c r="A65" s="45" t="s">
        <v>118</v>
      </c>
      <c r="B65" s="35"/>
      <c r="D65" s="24"/>
      <c r="E65" s="94">
        <v>0</v>
      </c>
      <c r="F65" s="100"/>
      <c r="G65" s="20" t="s">
        <v>131</v>
      </c>
    </row>
    <row r="66" spans="1:10" x14ac:dyDescent="0.25">
      <c r="A66" s="45" t="s">
        <v>119</v>
      </c>
      <c r="B66" s="35"/>
      <c r="D66" s="24"/>
      <c r="E66" s="94">
        <v>0</v>
      </c>
      <c r="F66" s="100"/>
      <c r="G66" s="20" t="s">
        <v>132</v>
      </c>
    </row>
    <row r="67" spans="1:10" x14ac:dyDescent="0.25">
      <c r="A67" s="93" t="s">
        <v>120</v>
      </c>
      <c r="B67" s="35"/>
      <c r="D67" s="24"/>
      <c r="E67" s="94">
        <v>0</v>
      </c>
      <c r="F67" s="100"/>
      <c r="G67" s="20" t="s">
        <v>133</v>
      </c>
    </row>
    <row r="68" spans="1:10" x14ac:dyDescent="0.25">
      <c r="A68" s="93" t="s">
        <v>121</v>
      </c>
      <c r="B68" s="35"/>
      <c r="D68" s="24"/>
      <c r="E68" s="94">
        <v>0</v>
      </c>
      <c r="F68" s="100"/>
      <c r="G68" s="20" t="s">
        <v>134</v>
      </c>
    </row>
    <row r="69" spans="1:10" x14ac:dyDescent="0.25">
      <c r="A69" s="93" t="s">
        <v>122</v>
      </c>
      <c r="B69" s="35"/>
      <c r="D69" s="24"/>
      <c r="E69" s="94">
        <v>0</v>
      </c>
      <c r="F69" s="100"/>
      <c r="G69" s="20" t="s">
        <v>135</v>
      </c>
    </row>
    <row r="70" spans="1:10" ht="15.75" thickBot="1" x14ac:dyDescent="0.3">
      <c r="A70" s="93" t="s">
        <v>123</v>
      </c>
      <c r="B70" s="35"/>
      <c r="D70" s="24"/>
      <c r="E70" s="130">
        <f>SUM(E60:E69)*0.15</f>
        <v>107700.45</v>
      </c>
      <c r="F70" s="79"/>
      <c r="G70" s="31"/>
      <c r="J70" s="3">
        <v>107000</v>
      </c>
    </row>
    <row r="71" spans="1:10" x14ac:dyDescent="0.25">
      <c r="A71" s="7"/>
      <c r="B71" s="35"/>
      <c r="D71" s="24"/>
      <c r="E71" s="69" t="s">
        <v>162</v>
      </c>
      <c r="F71" s="79">
        <f>SUM(E58:E70)</f>
        <v>1895239.0999999999</v>
      </c>
      <c r="G71" s="31"/>
    </row>
    <row r="72" spans="1:10" x14ac:dyDescent="0.25">
      <c r="A72" s="6" t="s">
        <v>40</v>
      </c>
      <c r="B72" s="35"/>
      <c r="D72" s="24"/>
      <c r="E72" s="25"/>
      <c r="F72" s="79"/>
      <c r="G72" s="31"/>
    </row>
    <row r="73" spans="1:10" x14ac:dyDescent="0.25">
      <c r="A73" s="45" t="s">
        <v>39</v>
      </c>
      <c r="B73" s="35"/>
      <c r="D73" s="24"/>
      <c r="E73" s="94">
        <v>0</v>
      </c>
      <c r="F73" s="100">
        <v>0</v>
      </c>
      <c r="G73" s="20"/>
      <c r="H73" s="96" t="s">
        <v>48</v>
      </c>
      <c r="I73" s="96">
        <v>0</v>
      </c>
    </row>
    <row r="74" spans="1:10" s="53" customFormat="1" ht="15.75" x14ac:dyDescent="0.25">
      <c r="A74" s="74" t="s">
        <v>86</v>
      </c>
      <c r="B74" s="55"/>
      <c r="C74" s="112">
        <f>SUM(C54:C73)</f>
        <v>11724900</v>
      </c>
      <c r="D74" s="80">
        <f>SUM(D44:D73)</f>
        <v>11724900</v>
      </c>
      <c r="E74" s="80">
        <f>SUM(E44:E73)</f>
        <v>4780198.1000000006</v>
      </c>
      <c r="F74" s="80">
        <f>SUM(F44:F73)</f>
        <v>4780198.0999999996</v>
      </c>
      <c r="G74" s="51"/>
      <c r="H74" s="52"/>
      <c r="I74" s="52"/>
      <c r="J74" s="52"/>
    </row>
    <row r="75" spans="1:10" ht="15.75" x14ac:dyDescent="0.25">
      <c r="A75" s="76" t="s">
        <v>80</v>
      </c>
      <c r="B75" s="81"/>
      <c r="C75" s="114"/>
      <c r="D75" s="368">
        <f>D74+E74</f>
        <v>16505098.100000001</v>
      </c>
      <c r="E75" s="368"/>
      <c r="F75" s="99"/>
      <c r="G75" s="20"/>
      <c r="H75" s="11"/>
      <c r="I75" s="11"/>
    </row>
    <row r="76" spans="1:10" x14ac:dyDescent="0.25">
      <c r="A76" s="49"/>
      <c r="B76" s="35"/>
      <c r="D76" s="78"/>
      <c r="E76" s="78"/>
      <c r="F76" s="78"/>
      <c r="G76" s="20"/>
      <c r="H76" s="11"/>
      <c r="I76" s="11"/>
    </row>
    <row r="77" spans="1:10" x14ac:dyDescent="0.25">
      <c r="B77" s="35"/>
      <c r="D77" s="78"/>
      <c r="E77" s="79"/>
      <c r="F77" s="79"/>
      <c r="G77" s="31"/>
    </row>
    <row r="78" spans="1:10" x14ac:dyDescent="0.25">
      <c r="A78" s="13" t="s">
        <v>156</v>
      </c>
      <c r="B78" s="35"/>
      <c r="D78" s="24"/>
      <c r="E78" s="25"/>
      <c r="F78" s="79"/>
      <c r="G78" s="31"/>
    </row>
    <row r="79" spans="1:10" x14ac:dyDescent="0.25">
      <c r="A79" s="42" t="s">
        <v>3</v>
      </c>
      <c r="B79" s="35"/>
      <c r="E79" s="68">
        <v>277957</v>
      </c>
      <c r="F79" s="78">
        <f>E79</f>
        <v>277957</v>
      </c>
      <c r="G79" s="31"/>
    </row>
    <row r="80" spans="1:10" x14ac:dyDescent="0.25">
      <c r="A80" s="4"/>
      <c r="B80" s="35"/>
      <c r="D80" s="24"/>
      <c r="E80" s="25"/>
      <c r="F80" s="79"/>
      <c r="G80" s="31"/>
    </row>
    <row r="81" spans="1:10" x14ac:dyDescent="0.25">
      <c r="A81" s="6" t="s">
        <v>26</v>
      </c>
      <c r="B81" s="35"/>
      <c r="D81" s="24"/>
      <c r="E81" s="25"/>
      <c r="F81" s="79"/>
      <c r="G81" s="31"/>
    </row>
    <row r="82" spans="1:10" x14ac:dyDescent="0.25">
      <c r="A82" s="42" t="s">
        <v>4</v>
      </c>
      <c r="B82" s="35"/>
      <c r="D82" s="24"/>
      <c r="E82" s="25">
        <v>14500</v>
      </c>
      <c r="F82" s="79">
        <f>E82</f>
        <v>14500</v>
      </c>
      <c r="G82" s="31"/>
    </row>
    <row r="83" spans="1:10" x14ac:dyDescent="0.25">
      <c r="A83" s="4"/>
      <c r="B83" s="35"/>
      <c r="D83" s="24"/>
      <c r="E83" s="25"/>
      <c r="F83" s="79"/>
      <c r="G83" s="31"/>
    </row>
    <row r="84" spans="1:10" x14ac:dyDescent="0.25">
      <c r="A84" s="6" t="s">
        <v>33</v>
      </c>
      <c r="B84" s="35"/>
      <c r="D84" s="24"/>
      <c r="E84" s="25"/>
      <c r="F84" s="79"/>
      <c r="G84" s="31"/>
    </row>
    <row r="85" spans="1:10" x14ac:dyDescent="0.25">
      <c r="A85" s="42" t="s">
        <v>32</v>
      </c>
      <c r="B85" s="35"/>
      <c r="D85" s="24">
        <v>153900</v>
      </c>
      <c r="E85" s="25"/>
      <c r="F85" s="79"/>
      <c r="G85" s="31"/>
    </row>
    <row r="86" spans="1:10" x14ac:dyDescent="0.25">
      <c r="A86" s="42" t="s">
        <v>7</v>
      </c>
      <c r="B86" s="35"/>
      <c r="D86" s="24">
        <v>65520</v>
      </c>
      <c r="E86" s="25"/>
      <c r="F86" s="79"/>
      <c r="G86" s="31"/>
    </row>
    <row r="87" spans="1:10" x14ac:dyDescent="0.25">
      <c r="A87" s="42" t="s">
        <v>7</v>
      </c>
      <c r="B87" s="35"/>
      <c r="D87" s="24">
        <v>568</v>
      </c>
      <c r="E87" s="25"/>
      <c r="F87" s="79"/>
      <c r="G87" s="31"/>
    </row>
    <row r="88" spans="1:10" x14ac:dyDescent="0.25">
      <c r="A88" s="42" t="s">
        <v>8</v>
      </c>
      <c r="B88" s="35"/>
      <c r="D88" s="24">
        <v>3000</v>
      </c>
      <c r="E88" s="25"/>
      <c r="F88" s="79"/>
      <c r="G88" s="31"/>
    </row>
    <row r="89" spans="1:10" x14ac:dyDescent="0.25">
      <c r="A89" s="42" t="s">
        <v>9</v>
      </c>
      <c r="B89" s="35"/>
      <c r="D89" s="24">
        <v>60000</v>
      </c>
      <c r="E89" s="25"/>
      <c r="F89" s="79"/>
      <c r="G89" s="31"/>
    </row>
    <row r="90" spans="1:10" ht="15.75" thickBot="1" x14ac:dyDescent="0.3">
      <c r="A90" s="42" t="s">
        <v>36</v>
      </c>
      <c r="B90" s="35"/>
      <c r="D90" s="129">
        <v>23085</v>
      </c>
      <c r="E90" s="25"/>
      <c r="F90" s="79"/>
      <c r="G90" s="31"/>
      <c r="J90" s="3">
        <f>D90</f>
        <v>23085</v>
      </c>
    </row>
    <row r="91" spans="1:10" x14ac:dyDescent="0.25">
      <c r="A91" s="4"/>
      <c r="B91" s="35"/>
      <c r="C91" s="22">
        <f>SUM(D85:D90)</f>
        <v>306073</v>
      </c>
      <c r="D91" s="68" t="s">
        <v>164</v>
      </c>
      <c r="E91" s="25"/>
      <c r="F91" s="79"/>
      <c r="G91" s="31"/>
    </row>
    <row r="92" spans="1:10" x14ac:dyDescent="0.25">
      <c r="A92" s="6" t="s">
        <v>28</v>
      </c>
      <c r="B92" s="35"/>
      <c r="D92" s="24"/>
      <c r="E92" s="25"/>
      <c r="F92" s="79"/>
      <c r="G92" s="31"/>
    </row>
    <row r="93" spans="1:10" x14ac:dyDescent="0.25">
      <c r="A93" s="42" t="s">
        <v>5</v>
      </c>
      <c r="B93" s="35"/>
      <c r="D93" s="24"/>
      <c r="E93" s="25">
        <v>8500</v>
      </c>
      <c r="F93" s="79"/>
      <c r="G93" s="31"/>
    </row>
    <row r="94" spans="1:10" x14ac:dyDescent="0.25">
      <c r="A94" s="42" t="s">
        <v>6</v>
      </c>
      <c r="B94" s="35"/>
      <c r="D94" s="24"/>
      <c r="E94" s="25">
        <v>34753</v>
      </c>
      <c r="F94" s="79"/>
      <c r="G94" s="31"/>
    </row>
    <row r="95" spans="1:10" x14ac:dyDescent="0.25">
      <c r="A95" s="42" t="s">
        <v>34</v>
      </c>
      <c r="B95" s="35"/>
      <c r="D95" s="24"/>
      <c r="E95" s="25">
        <v>3500</v>
      </c>
      <c r="F95" s="79"/>
      <c r="G95" s="31"/>
    </row>
    <row r="96" spans="1:10" ht="15.75" thickBot="1" x14ac:dyDescent="0.3">
      <c r="A96" s="42" t="s">
        <v>35</v>
      </c>
      <c r="B96" s="35"/>
      <c r="D96" s="24"/>
      <c r="E96" s="131" t="s">
        <v>159</v>
      </c>
      <c r="F96" s="79"/>
      <c r="G96" s="31"/>
    </row>
    <row r="97" spans="1:10" x14ac:dyDescent="0.25">
      <c r="B97" s="35"/>
      <c r="D97" s="24"/>
      <c r="E97" s="68" t="s">
        <v>162</v>
      </c>
      <c r="F97" s="78">
        <f>SUM(E93:E96)</f>
        <v>46753</v>
      </c>
      <c r="G97" s="31"/>
    </row>
    <row r="98" spans="1:10" x14ac:dyDescent="0.25">
      <c r="B98" s="35"/>
      <c r="D98" s="24"/>
      <c r="E98" s="25"/>
      <c r="F98" s="79"/>
      <c r="G98" s="31"/>
    </row>
    <row r="99" spans="1:10" x14ac:dyDescent="0.25">
      <c r="A99" s="6" t="s">
        <v>49</v>
      </c>
      <c r="B99" s="35"/>
      <c r="D99" s="24"/>
      <c r="E99" s="25"/>
      <c r="F99" s="79"/>
      <c r="G99" s="31"/>
    </row>
    <row r="100" spans="1:10" x14ac:dyDescent="0.25">
      <c r="A100" t="s">
        <v>10</v>
      </c>
      <c r="B100" s="35"/>
      <c r="D100" s="24"/>
      <c r="E100" s="25">
        <f>4*I100</f>
        <v>80000</v>
      </c>
      <c r="F100" s="79"/>
      <c r="G100" s="31"/>
      <c r="I100" s="3">
        <v>20000</v>
      </c>
    </row>
    <row r="101" spans="1:10" x14ac:dyDescent="0.25">
      <c r="A101" t="s">
        <v>12</v>
      </c>
      <c r="B101" s="35"/>
      <c r="D101" s="24"/>
      <c r="E101" s="25">
        <f>4*I101</f>
        <v>33600</v>
      </c>
      <c r="F101" s="79"/>
      <c r="G101" s="31"/>
      <c r="I101" s="3">
        <v>8400</v>
      </c>
    </row>
    <row r="102" spans="1:10" x14ac:dyDescent="0.25">
      <c r="A102" t="s">
        <v>11</v>
      </c>
      <c r="B102" s="35"/>
      <c r="D102" s="24"/>
      <c r="E102" s="25">
        <f>4*I102</f>
        <v>59040</v>
      </c>
      <c r="F102" s="79"/>
      <c r="G102" s="31"/>
      <c r="I102" s="3">
        <v>14760</v>
      </c>
    </row>
    <row r="103" spans="1:10" ht="15.75" thickBot="1" x14ac:dyDescent="0.3">
      <c r="A103" t="s">
        <v>13</v>
      </c>
      <c r="B103" s="35"/>
      <c r="D103" s="24"/>
      <c r="E103" s="130">
        <v>48000</v>
      </c>
      <c r="F103" s="79"/>
      <c r="G103" s="31"/>
      <c r="H103" s="12" t="s">
        <v>14</v>
      </c>
      <c r="I103" s="3">
        <v>48000</v>
      </c>
    </row>
    <row r="104" spans="1:10" x14ac:dyDescent="0.25">
      <c r="E104" s="3" t="s">
        <v>162</v>
      </c>
      <c r="F104" s="3">
        <f>SUM(E100:E103)</f>
        <v>220640</v>
      </c>
    </row>
    <row r="105" spans="1:10" s="57" customFormat="1" ht="15.75" x14ac:dyDescent="0.25">
      <c r="A105" s="74" t="s">
        <v>157</v>
      </c>
      <c r="B105" s="55"/>
      <c r="C105" s="113">
        <f>C91</f>
        <v>306073</v>
      </c>
      <c r="D105" s="80">
        <f>SUM(D79:D103)</f>
        <v>306073</v>
      </c>
      <c r="E105" s="80">
        <f>SUM(E79:E103)</f>
        <v>559850</v>
      </c>
      <c r="F105" s="80">
        <f>SUM(F79:F104)</f>
        <v>559850</v>
      </c>
      <c r="G105" s="58"/>
      <c r="H105" s="59"/>
      <c r="I105" s="58"/>
      <c r="J105" s="58"/>
    </row>
    <row r="106" spans="1:10" s="57" customFormat="1" ht="15.75" x14ac:dyDescent="0.25">
      <c r="A106" s="76" t="s">
        <v>158</v>
      </c>
      <c r="B106" s="81"/>
      <c r="C106" s="114"/>
      <c r="D106" s="368">
        <f>D105+E105</f>
        <v>865923</v>
      </c>
      <c r="E106" s="368"/>
      <c r="F106" s="99"/>
      <c r="G106" s="58"/>
      <c r="H106" s="59"/>
      <c r="I106" s="58"/>
      <c r="J106" s="58"/>
    </row>
    <row r="107" spans="1:10" x14ac:dyDescent="0.25">
      <c r="B107" s="35"/>
      <c r="D107" s="78"/>
      <c r="E107" s="79"/>
      <c r="F107" s="79"/>
      <c r="G107" s="31"/>
    </row>
    <row r="108" spans="1:10" x14ac:dyDescent="0.25">
      <c r="B108" s="35"/>
      <c r="D108" s="78"/>
      <c r="E108" s="79"/>
      <c r="F108" s="79"/>
      <c r="G108" s="31"/>
    </row>
    <row r="109" spans="1:10" x14ac:dyDescent="0.25">
      <c r="A109" s="60" t="s">
        <v>1</v>
      </c>
      <c r="B109" s="61"/>
      <c r="D109" s="62" t="s">
        <v>2</v>
      </c>
      <c r="E109" s="63"/>
      <c r="F109" s="101"/>
      <c r="G109" s="31"/>
    </row>
    <row r="110" spans="1:10" x14ac:dyDescent="0.25">
      <c r="B110" s="35"/>
      <c r="D110" s="68"/>
      <c r="E110" s="69"/>
      <c r="F110" s="79"/>
      <c r="G110" s="31"/>
    </row>
    <row r="111" spans="1:10" ht="30.95" customHeight="1" x14ac:dyDescent="0.25">
      <c r="A111" s="14" t="s">
        <v>54</v>
      </c>
      <c r="B111" s="35"/>
      <c r="D111" s="24"/>
      <c r="E111" s="25"/>
      <c r="F111" s="79"/>
      <c r="G111" s="31"/>
    </row>
    <row r="112" spans="1:10" ht="0.95" customHeight="1" x14ac:dyDescent="0.25">
      <c r="A112" s="14"/>
      <c r="B112" s="35"/>
      <c r="D112" s="24"/>
      <c r="E112" s="38">
        <f>340000*4</f>
        <v>1360000</v>
      </c>
      <c r="F112" s="102"/>
      <c r="G112" s="33"/>
      <c r="H112" s="2" t="s">
        <v>42</v>
      </c>
      <c r="I112" s="3">
        <v>340000</v>
      </c>
    </row>
    <row r="113" spans="1:10" ht="45" x14ac:dyDescent="0.25">
      <c r="A113" t="s">
        <v>44</v>
      </c>
      <c r="B113" s="35"/>
      <c r="D113" s="24"/>
      <c r="E113" s="38">
        <v>1360000</v>
      </c>
      <c r="F113" s="102"/>
      <c r="G113" s="33"/>
      <c r="H113" s="2" t="s">
        <v>46</v>
      </c>
      <c r="I113" s="3">
        <v>340000</v>
      </c>
    </row>
    <row r="114" spans="1:10" s="9" customFormat="1" ht="60.75" x14ac:dyDescent="0.3">
      <c r="A114" s="15" t="s">
        <v>0</v>
      </c>
      <c r="B114" s="16"/>
      <c r="C114" s="108" t="s">
        <v>138</v>
      </c>
      <c r="D114" s="17" t="s">
        <v>77</v>
      </c>
      <c r="E114" s="17" t="s">
        <v>78</v>
      </c>
      <c r="F114" s="17" t="s">
        <v>139</v>
      </c>
      <c r="G114" s="17"/>
      <c r="H114" s="18" t="s">
        <v>38</v>
      </c>
      <c r="I114" s="92" t="s">
        <v>112</v>
      </c>
      <c r="J114" s="17" t="s">
        <v>140</v>
      </c>
    </row>
    <row r="115" spans="1:10" s="53" customFormat="1" ht="15.75" x14ac:dyDescent="0.25">
      <c r="A115" s="64" t="s">
        <v>81</v>
      </c>
      <c r="B115" s="55"/>
      <c r="C115" s="58"/>
      <c r="D115" s="56">
        <f>SUM(D113)</f>
        <v>0</v>
      </c>
      <c r="E115" s="56">
        <f t="shared" ref="E115" si="0">SUM(E113)</f>
        <v>1360000</v>
      </c>
      <c r="F115" s="98"/>
      <c r="G115" s="65"/>
      <c r="H115" s="66"/>
      <c r="I115" s="52"/>
      <c r="J115" s="52"/>
    </row>
    <row r="116" spans="1:10" x14ac:dyDescent="0.25">
      <c r="B116" s="35"/>
      <c r="D116" s="24"/>
      <c r="E116" s="25"/>
      <c r="F116" s="79"/>
      <c r="G116" s="31"/>
    </row>
    <row r="117" spans="1:10" ht="45" x14ac:dyDescent="0.25">
      <c r="A117" s="14" t="s">
        <v>55</v>
      </c>
      <c r="B117" s="35"/>
      <c r="D117" s="24"/>
      <c r="E117" s="25"/>
      <c r="F117" s="79"/>
      <c r="G117" s="31"/>
    </row>
    <row r="118" spans="1:10" s="21" customFormat="1" x14ac:dyDescent="0.25">
      <c r="A118" s="23" t="s">
        <v>45</v>
      </c>
      <c r="B118" s="35"/>
      <c r="C118" s="22"/>
      <c r="D118" s="39"/>
      <c r="E118" s="40">
        <v>1400000</v>
      </c>
      <c r="F118" s="103"/>
      <c r="G118" s="31"/>
      <c r="H118" s="22" t="s">
        <v>47</v>
      </c>
      <c r="I118" s="22">
        <v>350000</v>
      </c>
      <c r="J118" s="22"/>
    </row>
    <row r="119" spans="1:10" s="57" customFormat="1" ht="15.75" x14ac:dyDescent="0.25">
      <c r="A119" s="67" t="s">
        <v>82</v>
      </c>
      <c r="B119" s="55"/>
      <c r="C119" s="58"/>
      <c r="D119" s="56">
        <f>SUM(D118)</f>
        <v>0</v>
      </c>
      <c r="E119" s="56">
        <f t="shared" ref="E119" si="1">SUM(E118)</f>
        <v>1400000</v>
      </c>
      <c r="F119" s="98"/>
      <c r="G119" s="51"/>
      <c r="H119" s="58"/>
      <c r="I119" s="58"/>
      <c r="J119" s="58"/>
    </row>
    <row r="120" spans="1:10" x14ac:dyDescent="0.25">
      <c r="B120" s="35"/>
      <c r="D120" s="24"/>
      <c r="E120" s="25"/>
      <c r="F120" s="79"/>
      <c r="G120" s="31"/>
    </row>
    <row r="121" spans="1:10" x14ac:dyDescent="0.25">
      <c r="A121" s="13" t="s">
        <v>56</v>
      </c>
      <c r="B121" s="35"/>
      <c r="D121" s="41"/>
      <c r="E121" s="25"/>
      <c r="F121" s="79"/>
      <c r="G121" s="31"/>
    </row>
    <row r="122" spans="1:10" x14ac:dyDescent="0.25">
      <c r="A122" t="s">
        <v>41</v>
      </c>
      <c r="B122" s="35"/>
      <c r="D122" s="24"/>
      <c r="E122" s="25">
        <v>1300000</v>
      </c>
      <c r="F122" s="79"/>
      <c r="G122" s="31"/>
    </row>
    <row r="123" spans="1:10" ht="30" x14ac:dyDescent="0.25">
      <c r="A123" t="s">
        <v>45</v>
      </c>
      <c r="B123" s="35"/>
      <c r="D123" s="24"/>
      <c r="E123" s="95">
        <v>0</v>
      </c>
      <c r="F123" s="104"/>
      <c r="G123" s="31"/>
      <c r="H123" s="97" t="s">
        <v>51</v>
      </c>
      <c r="I123" s="96">
        <v>0</v>
      </c>
    </row>
    <row r="124" spans="1:10" s="53" customFormat="1" ht="15.75" x14ac:dyDescent="0.25">
      <c r="A124" s="64" t="s">
        <v>83</v>
      </c>
      <c r="B124" s="55"/>
      <c r="C124" s="58"/>
      <c r="D124" s="56">
        <f>SUM(D122:D123)</f>
        <v>0</v>
      </c>
      <c r="E124" s="56">
        <f t="shared" ref="E124" si="2">SUM(E122:E123)</f>
        <v>1300000</v>
      </c>
      <c r="F124" s="98"/>
      <c r="G124" s="51"/>
      <c r="H124" s="66"/>
      <c r="I124" s="52"/>
      <c r="J124" s="52"/>
    </row>
    <row r="125" spans="1:10" x14ac:dyDescent="0.25">
      <c r="B125" s="35"/>
      <c r="D125" s="24"/>
      <c r="E125" s="25"/>
      <c r="F125" s="79"/>
      <c r="G125" s="31"/>
    </row>
    <row r="126" spans="1:10" ht="30" x14ac:dyDescent="0.25">
      <c r="A126" s="14" t="s">
        <v>152</v>
      </c>
      <c r="B126" s="35"/>
      <c r="D126" s="24"/>
      <c r="E126" s="25"/>
      <c r="F126" s="79"/>
      <c r="G126" s="31"/>
    </row>
    <row r="127" spans="1:10" x14ac:dyDescent="0.25">
      <c r="A127" s="14"/>
      <c r="B127" s="35"/>
      <c r="D127" s="24"/>
      <c r="E127" s="25"/>
      <c r="F127" s="79"/>
      <c r="G127" s="31"/>
    </row>
    <row r="128" spans="1:10" ht="30" x14ac:dyDescent="0.25">
      <c r="A128" t="s">
        <v>45</v>
      </c>
      <c r="B128" s="35"/>
      <c r="D128" s="24" t="s">
        <v>50</v>
      </c>
      <c r="E128" s="38">
        <f>4*260000</f>
        <v>1040000</v>
      </c>
      <c r="F128" s="102"/>
      <c r="G128" s="33"/>
      <c r="H128" s="2" t="s">
        <v>43</v>
      </c>
      <c r="I128" s="3">
        <v>260000</v>
      </c>
    </row>
    <row r="129" spans="1:12" s="53" customFormat="1" ht="15.75" x14ac:dyDescent="0.25">
      <c r="A129" s="64" t="s">
        <v>84</v>
      </c>
      <c r="B129" s="55"/>
      <c r="C129" s="58"/>
      <c r="D129" s="56">
        <f>SUM(D128)</f>
        <v>0</v>
      </c>
      <c r="E129" s="56">
        <f t="shared" ref="E129" si="3">SUM(E128)</f>
        <v>1040000</v>
      </c>
      <c r="F129" s="98"/>
      <c r="G129" s="51"/>
      <c r="H129" s="52"/>
      <c r="I129" s="52"/>
      <c r="J129" s="52"/>
    </row>
    <row r="130" spans="1:12" s="9" customFormat="1" x14ac:dyDescent="0.25">
      <c r="B130" s="36"/>
      <c r="C130" s="109"/>
      <c r="D130" s="10"/>
      <c r="E130" s="11"/>
      <c r="F130" s="11"/>
      <c r="G130" s="20"/>
      <c r="H130" s="11"/>
      <c r="I130" s="11"/>
      <c r="J130" s="11"/>
    </row>
    <row r="131" spans="1:12" s="27" customFormat="1" ht="19.5" thickBot="1" x14ac:dyDescent="0.35">
      <c r="A131" s="26" t="s">
        <v>57</v>
      </c>
      <c r="B131" s="37"/>
      <c r="C131" s="110"/>
      <c r="D131" s="28">
        <f>D39+D74+D105+D115+D119+D124+D129</f>
        <v>14133502.4</v>
      </c>
      <c r="E131" s="28">
        <f>E39+E74+E105+E115+E119+E124+E129</f>
        <v>15725144.5</v>
      </c>
      <c r="F131" s="28"/>
      <c r="G131" s="34"/>
      <c r="H131" s="29"/>
      <c r="I131" s="29">
        <f>SUM(I6:I130)</f>
        <v>1881160</v>
      </c>
      <c r="J131" s="29">
        <f>SUM(J6:J130)</f>
        <v>624237.4</v>
      </c>
    </row>
    <row r="132" spans="1:12" x14ac:dyDescent="0.25">
      <c r="B132" s="35"/>
      <c r="G132" s="31"/>
      <c r="H132" s="359" t="s">
        <v>155</v>
      </c>
      <c r="I132" s="360"/>
      <c r="J132" s="360"/>
      <c r="K132" s="361"/>
    </row>
    <row r="133" spans="1:12" ht="18.75" customHeight="1" x14ac:dyDescent="0.3">
      <c r="B133" s="35"/>
      <c r="E133" s="30">
        <f>SUM(D131:E131)</f>
        <v>29858646.899999999</v>
      </c>
      <c r="F133" s="30"/>
      <c r="G133" s="31"/>
      <c r="H133" s="362"/>
      <c r="I133" s="363"/>
      <c r="J133" s="363"/>
      <c r="K133" s="364"/>
      <c r="L133" s="127"/>
    </row>
    <row r="134" spans="1:12" x14ac:dyDescent="0.25">
      <c r="H134" s="362"/>
      <c r="I134" s="363"/>
      <c r="J134" s="363"/>
      <c r="K134" s="364"/>
      <c r="L134" s="127"/>
    </row>
    <row r="135" spans="1:12" ht="15.75" x14ac:dyDescent="0.25">
      <c r="D135" s="48" t="s">
        <v>76</v>
      </c>
      <c r="H135" s="362"/>
      <c r="I135" s="363"/>
      <c r="J135" s="363"/>
      <c r="K135" s="364"/>
      <c r="L135" s="127"/>
    </row>
    <row r="136" spans="1:12" x14ac:dyDescent="0.25">
      <c r="A136" t="s">
        <v>58</v>
      </c>
      <c r="E136" s="3">
        <v>13011</v>
      </c>
      <c r="H136" s="362"/>
      <c r="I136" s="363"/>
      <c r="J136" s="363"/>
      <c r="K136" s="364"/>
      <c r="L136" s="127"/>
    </row>
    <row r="137" spans="1:12" ht="15" customHeight="1" x14ac:dyDescent="0.25">
      <c r="A137" t="s">
        <v>58</v>
      </c>
      <c r="E137" s="3">
        <v>10282</v>
      </c>
      <c r="H137" s="362"/>
      <c r="I137" s="363"/>
      <c r="J137" s="363"/>
      <c r="K137" s="364"/>
      <c r="L137" s="127"/>
    </row>
    <row r="138" spans="1:12" x14ac:dyDescent="0.25">
      <c r="A138" t="s">
        <v>59</v>
      </c>
      <c r="E138" s="3">
        <v>161578</v>
      </c>
      <c r="H138" s="362"/>
      <c r="I138" s="363"/>
      <c r="J138" s="363"/>
      <c r="K138" s="364"/>
    </row>
    <row r="139" spans="1:12" ht="15.75" thickBot="1" x14ac:dyDescent="0.3">
      <c r="A139" t="s">
        <v>60</v>
      </c>
      <c r="E139" s="3">
        <v>14177</v>
      </c>
      <c r="H139" s="365"/>
      <c r="I139" s="366"/>
      <c r="J139" s="366"/>
      <c r="K139" s="367"/>
    </row>
    <row r="140" spans="1:12" x14ac:dyDescent="0.25">
      <c r="A140" t="s">
        <v>65</v>
      </c>
      <c r="E140" s="3">
        <f>1440+400+1560+690+1740+540+2700+1800+1320+480+1320+864+840</f>
        <v>15694</v>
      </c>
    </row>
    <row r="141" spans="1:12" x14ac:dyDescent="0.25">
      <c r="A141" t="s">
        <v>61</v>
      </c>
      <c r="E141" s="3">
        <v>27042</v>
      </c>
    </row>
    <row r="142" spans="1:12" x14ac:dyDescent="0.25">
      <c r="A142" t="s">
        <v>62</v>
      </c>
      <c r="E142" s="3">
        <v>257</v>
      </c>
    </row>
    <row r="143" spans="1:12" x14ac:dyDescent="0.25">
      <c r="A143" t="s">
        <v>63</v>
      </c>
      <c r="E143" s="3">
        <f>2986+2221</f>
        <v>5207</v>
      </c>
    </row>
    <row r="144" spans="1:12" x14ac:dyDescent="0.25">
      <c r="A144" t="s">
        <v>64</v>
      </c>
      <c r="E144" s="3">
        <f>7063+1875</f>
        <v>8938</v>
      </c>
    </row>
    <row r="145" spans="1:7" x14ac:dyDescent="0.25">
      <c r="A145" t="s">
        <v>66</v>
      </c>
      <c r="E145" s="3">
        <f>50+25+77+46+66</f>
        <v>264</v>
      </c>
    </row>
    <row r="146" spans="1:7" x14ac:dyDescent="0.25">
      <c r="A146" t="s">
        <v>67</v>
      </c>
      <c r="E146" s="3">
        <v>8</v>
      </c>
    </row>
    <row r="147" spans="1:7" x14ac:dyDescent="0.25">
      <c r="A147" t="s">
        <v>68</v>
      </c>
      <c r="E147" s="3">
        <v>126</v>
      </c>
    </row>
    <row r="148" spans="1:7" x14ac:dyDescent="0.25">
      <c r="A148" t="s">
        <v>69</v>
      </c>
      <c r="E148" s="3">
        <v>1052</v>
      </c>
    </row>
    <row r="149" spans="1:7" x14ac:dyDescent="0.25">
      <c r="A149" t="s">
        <v>70</v>
      </c>
      <c r="E149" s="3">
        <f>5384+1133</f>
        <v>6517</v>
      </c>
      <c r="G149" s="50"/>
    </row>
    <row r="150" spans="1:7" x14ac:dyDescent="0.25">
      <c r="A150" t="s">
        <v>71</v>
      </c>
      <c r="E150" s="3">
        <v>600</v>
      </c>
    </row>
    <row r="151" spans="1:7" x14ac:dyDescent="0.25">
      <c r="A151" t="s">
        <v>72</v>
      </c>
      <c r="E151" s="3">
        <v>1214</v>
      </c>
    </row>
    <row r="152" spans="1:7" x14ac:dyDescent="0.25">
      <c r="A152" t="s">
        <v>73</v>
      </c>
      <c r="E152" s="3">
        <v>1679</v>
      </c>
    </row>
    <row r="153" spans="1:7" x14ac:dyDescent="0.25">
      <c r="A153" t="s">
        <v>74</v>
      </c>
      <c r="E153" s="3">
        <v>1760</v>
      </c>
    </row>
    <row r="154" spans="1:7" x14ac:dyDescent="0.25">
      <c r="A154" t="s">
        <v>75</v>
      </c>
      <c r="E154" s="79">
        <v>1460</v>
      </c>
      <c r="F154" s="79"/>
    </row>
    <row r="155" spans="1:7" ht="15.75" thickBot="1" x14ac:dyDescent="0.3">
      <c r="A155" t="s">
        <v>153</v>
      </c>
      <c r="E155" s="47">
        <f>134000*4</f>
        <v>536000</v>
      </c>
      <c r="F155" s="79" t="s">
        <v>154</v>
      </c>
    </row>
    <row r="156" spans="1:7" ht="18.75" x14ac:dyDescent="0.3">
      <c r="E156" s="29">
        <f>SUM(E136:E155)</f>
        <v>806866</v>
      </c>
      <c r="F156" s="29"/>
    </row>
    <row r="158" spans="1:7" ht="38.25" thickBot="1" x14ac:dyDescent="0.35">
      <c r="A158" s="86" t="s">
        <v>88</v>
      </c>
      <c r="B158" s="83"/>
      <c r="C158" s="111"/>
      <c r="D158" s="84">
        <f xml:space="preserve"> D131</f>
        <v>14133502.4</v>
      </c>
      <c r="E158" s="85">
        <f>E131+E156</f>
        <v>16532010.5</v>
      </c>
      <c r="F158" s="105"/>
    </row>
    <row r="159" spans="1:7" ht="19.5" thickTop="1" x14ac:dyDescent="0.3">
      <c r="D159" s="28"/>
      <c r="E159" s="29"/>
      <c r="F159" s="29"/>
    </row>
    <row r="160" spans="1:7" ht="19.5" thickBot="1" x14ac:dyDescent="0.35">
      <c r="A160" s="369" t="s">
        <v>87</v>
      </c>
      <c r="B160" s="369"/>
      <c r="C160" s="369"/>
      <c r="D160" s="369"/>
      <c r="E160" s="82">
        <f>SUM(D158:E158)</f>
        <v>30665512.899999999</v>
      </c>
      <c r="F160" s="106"/>
    </row>
    <row r="161" spans="1:6" ht="15.75" thickTop="1" x14ac:dyDescent="0.25"/>
    <row r="163" spans="1:6" ht="15.75" x14ac:dyDescent="0.25">
      <c r="D163" s="87">
        <f>D158/E160</f>
        <v>0.46089241833616945</v>
      </c>
      <c r="E163" s="87">
        <f>E158/E160</f>
        <v>0.53910758166383055</v>
      </c>
      <c r="F163" s="107"/>
    </row>
    <row r="164" spans="1:6" ht="31.5" x14ac:dyDescent="0.25">
      <c r="D164" s="66" t="s">
        <v>141</v>
      </c>
      <c r="E164" s="66" t="s">
        <v>142</v>
      </c>
    </row>
    <row r="166" spans="1:6" ht="18.75" x14ac:dyDescent="0.3">
      <c r="A166" s="90" t="s">
        <v>110</v>
      </c>
      <c r="B166" s="3"/>
      <c r="C166" s="3"/>
      <c r="D166" s="3"/>
      <c r="E166"/>
    </row>
    <row r="167" spans="1:6" hidden="1" x14ac:dyDescent="0.25">
      <c r="B167" s="3"/>
      <c r="C167" s="3" t="s">
        <v>104</v>
      </c>
      <c r="D167" s="3" t="s">
        <v>105</v>
      </c>
      <c r="E167"/>
    </row>
    <row r="168" spans="1:6" hidden="1" x14ac:dyDescent="0.25">
      <c r="B168" s="3"/>
      <c r="C168" s="89">
        <v>0.75</v>
      </c>
      <c r="D168" s="89">
        <v>0.25</v>
      </c>
      <c r="E168"/>
    </row>
    <row r="169" spans="1:6" hidden="1" x14ac:dyDescent="0.25">
      <c r="A169" s="88" t="s">
        <v>96</v>
      </c>
      <c r="B169" s="3" t="s">
        <v>92</v>
      </c>
      <c r="C169" s="3" t="s">
        <v>107</v>
      </c>
      <c r="D169" s="3" t="s">
        <v>106</v>
      </c>
      <c r="E169"/>
    </row>
    <row r="170" spans="1:6" hidden="1" x14ac:dyDescent="0.25">
      <c r="A170" t="s">
        <v>89</v>
      </c>
      <c r="B170" s="3">
        <v>1606571</v>
      </c>
      <c r="C170" s="3">
        <v>1204929</v>
      </c>
      <c r="D170" s="3">
        <v>401643</v>
      </c>
      <c r="E170"/>
    </row>
    <row r="171" spans="1:6" hidden="1" x14ac:dyDescent="0.25">
      <c r="A171" t="s">
        <v>90</v>
      </c>
      <c r="B171" s="3">
        <v>8555373</v>
      </c>
      <c r="C171" s="3">
        <v>6416529</v>
      </c>
      <c r="D171" s="3">
        <v>2138843</v>
      </c>
      <c r="E171"/>
    </row>
    <row r="172" spans="1:6" hidden="1" x14ac:dyDescent="0.25">
      <c r="A172" t="s">
        <v>91</v>
      </c>
      <c r="B172" s="3">
        <f>18809146-B171-B170</f>
        <v>8647202</v>
      </c>
      <c r="C172" s="3">
        <f>14106859-C171-C170</f>
        <v>6485401</v>
      </c>
      <c r="D172" s="3">
        <f>4702286-D170-D171</f>
        <v>2161800</v>
      </c>
      <c r="E172"/>
    </row>
    <row r="173" spans="1:6" hidden="1" x14ac:dyDescent="0.25">
      <c r="A173" t="s">
        <v>93</v>
      </c>
      <c r="B173" s="3"/>
      <c r="C173" s="3"/>
      <c r="D173" s="3"/>
      <c r="E173"/>
    </row>
    <row r="174" spans="1:6" hidden="1" x14ac:dyDescent="0.25">
      <c r="A174" t="s">
        <v>94</v>
      </c>
      <c r="B174" s="3"/>
      <c r="C174" s="3"/>
      <c r="D174" s="3"/>
      <c r="E174"/>
    </row>
    <row r="175" spans="1:6" hidden="1" x14ac:dyDescent="0.25">
      <c r="A175" t="s">
        <v>95</v>
      </c>
      <c r="B175" s="3"/>
      <c r="C175" s="3"/>
      <c r="D175" s="3"/>
      <c r="E175"/>
    </row>
    <row r="176" spans="1:6" hidden="1" x14ac:dyDescent="0.25">
      <c r="B176" s="3">
        <f>SUM(B170:B175)</f>
        <v>18809146</v>
      </c>
      <c r="C176" s="3"/>
      <c r="D176" s="3"/>
      <c r="E176"/>
    </row>
    <row r="177" spans="1:8" hidden="1" x14ac:dyDescent="0.25">
      <c r="A177" s="88" t="s">
        <v>98</v>
      </c>
      <c r="B177" s="3"/>
      <c r="C177" s="3"/>
      <c r="D177" s="3"/>
      <c r="E177"/>
    </row>
    <row r="178" spans="1:8" hidden="1" x14ac:dyDescent="0.25">
      <c r="A178" t="s">
        <v>99</v>
      </c>
      <c r="B178" s="3">
        <v>52500</v>
      </c>
      <c r="C178" s="3"/>
      <c r="D178" s="3"/>
      <c r="E178"/>
    </row>
    <row r="179" spans="1:8" hidden="1" x14ac:dyDescent="0.25">
      <c r="A179" t="s">
        <v>100</v>
      </c>
      <c r="B179" s="3">
        <v>150000</v>
      </c>
      <c r="C179" s="3"/>
      <c r="D179" s="3"/>
      <c r="E179"/>
    </row>
    <row r="180" spans="1:8" hidden="1" x14ac:dyDescent="0.25">
      <c r="A180" t="s">
        <v>101</v>
      </c>
      <c r="B180" s="3">
        <v>150000</v>
      </c>
      <c r="C180" s="3"/>
      <c r="D180" s="3"/>
      <c r="E180"/>
    </row>
    <row r="181" spans="1:8" hidden="1" x14ac:dyDescent="0.25">
      <c r="A181" t="s">
        <v>102</v>
      </c>
      <c r="B181" s="3">
        <v>112500</v>
      </c>
      <c r="C181" s="3"/>
      <c r="D181" s="3"/>
      <c r="E181"/>
    </row>
    <row r="182" spans="1:8" hidden="1" x14ac:dyDescent="0.25">
      <c r="A182" t="s">
        <v>103</v>
      </c>
      <c r="B182" s="3">
        <v>75000</v>
      </c>
      <c r="C182" s="3"/>
      <c r="D182" s="3"/>
      <c r="E182"/>
    </row>
    <row r="183" spans="1:8" hidden="1" x14ac:dyDescent="0.25">
      <c r="B183" s="3">
        <f>SUM(B178:B182)</f>
        <v>540000</v>
      </c>
      <c r="C183" s="3"/>
      <c r="D183" s="3"/>
      <c r="E183"/>
    </row>
    <row r="184" spans="1:8" hidden="1" x14ac:dyDescent="0.25">
      <c r="B184" s="3"/>
      <c r="C184" s="3"/>
      <c r="D184" s="3"/>
      <c r="E184"/>
    </row>
    <row r="185" spans="1:8" hidden="1" x14ac:dyDescent="0.25">
      <c r="B185" s="3"/>
      <c r="C185" s="3"/>
      <c r="D185" s="3"/>
      <c r="E185"/>
    </row>
    <row r="186" spans="1:8" hidden="1" x14ac:dyDescent="0.25">
      <c r="A186" t="s">
        <v>97</v>
      </c>
      <c r="B186" s="3">
        <v>500000</v>
      </c>
      <c r="C186" s="3"/>
      <c r="D186" s="3"/>
      <c r="E186"/>
      <c r="H186" s="3">
        <f>SUM(B198:G198)</f>
        <v>38685146</v>
      </c>
    </row>
    <row r="187" spans="1:8" hidden="1" x14ac:dyDescent="0.25">
      <c r="B187" s="3"/>
      <c r="C187" s="3"/>
      <c r="D187" s="3"/>
      <c r="E187"/>
      <c r="H187" s="3">
        <f>SUM(B199:G199)</f>
        <v>777500</v>
      </c>
    </row>
    <row r="188" spans="1:8" hidden="1" x14ac:dyDescent="0.25">
      <c r="A188" s="88" t="s">
        <v>109</v>
      </c>
      <c r="B188" s="3"/>
      <c r="C188" s="3"/>
      <c r="D188" s="3"/>
      <c r="E188"/>
      <c r="H188" s="79">
        <f>SUM(B200:G200)</f>
        <v>500000</v>
      </c>
    </row>
    <row r="189" spans="1:8" hidden="1" x14ac:dyDescent="0.25">
      <c r="A189" t="s">
        <v>99</v>
      </c>
      <c r="B189" s="3">
        <v>6052500</v>
      </c>
      <c r="C189" s="3"/>
      <c r="D189" s="3"/>
      <c r="E189"/>
      <c r="H189" s="79">
        <f>SUM(B201:G201)</f>
        <v>345808</v>
      </c>
    </row>
    <row r="190" spans="1:8" ht="18.75" hidden="1" x14ac:dyDescent="0.3">
      <c r="A190" t="s">
        <v>100</v>
      </c>
      <c r="B190" s="3">
        <v>6525000</v>
      </c>
      <c r="C190" s="3"/>
      <c r="D190" s="3"/>
      <c r="E190"/>
      <c r="H190" s="119"/>
    </row>
    <row r="191" spans="1:8" ht="18.75" hidden="1" x14ac:dyDescent="0.3">
      <c r="A191" t="s">
        <v>101</v>
      </c>
      <c r="B191" s="3">
        <v>5900000</v>
      </c>
      <c r="C191" s="3"/>
      <c r="D191" s="3"/>
      <c r="E191"/>
      <c r="H191" s="29" t="s">
        <v>108</v>
      </c>
    </row>
    <row r="192" spans="1:8" ht="18.75" hidden="1" x14ac:dyDescent="0.3">
      <c r="A192" t="s">
        <v>102</v>
      </c>
      <c r="B192" s="3">
        <v>5550000</v>
      </c>
      <c r="C192" s="3"/>
      <c r="D192" s="3"/>
      <c r="E192"/>
      <c r="H192" s="29">
        <f>SUM(H186:H191)</f>
        <v>40308454</v>
      </c>
    </row>
    <row r="193" spans="1:9" hidden="1" x14ac:dyDescent="0.25">
      <c r="A193" t="s">
        <v>103</v>
      </c>
      <c r="B193" s="3">
        <v>7000000</v>
      </c>
      <c r="C193" s="3"/>
      <c r="D193" s="3"/>
      <c r="E193"/>
      <c r="I193" s="50"/>
    </row>
    <row r="194" spans="1:9" hidden="1" x14ac:dyDescent="0.25">
      <c r="B194" s="3">
        <f>SUM(B189:B193)</f>
        <v>31027500</v>
      </c>
      <c r="C194" s="3"/>
      <c r="D194" s="3"/>
      <c r="E194"/>
    </row>
    <row r="195" spans="1:9" hidden="1" x14ac:dyDescent="0.25">
      <c r="B195" s="3"/>
      <c r="C195" s="3"/>
      <c r="D195" s="3"/>
      <c r="E195"/>
    </row>
    <row r="196" spans="1:9" hidden="1" x14ac:dyDescent="0.25">
      <c r="B196" s="3"/>
      <c r="C196" s="3"/>
      <c r="D196" s="3"/>
    </row>
    <row r="197" spans="1:9" ht="45.75" thickBot="1" x14ac:dyDescent="0.3">
      <c r="B197" s="118" t="s">
        <v>147</v>
      </c>
      <c r="C197" s="118" t="s">
        <v>146</v>
      </c>
      <c r="D197" s="118" t="s">
        <v>148</v>
      </c>
      <c r="E197" s="118" t="s">
        <v>149</v>
      </c>
      <c r="F197" s="118" t="s">
        <v>150</v>
      </c>
      <c r="G197" s="118" t="s">
        <v>151</v>
      </c>
    </row>
    <row r="198" spans="1:9" x14ac:dyDescent="0.25">
      <c r="A198" s="88" t="s">
        <v>96</v>
      </c>
      <c r="B198" s="3">
        <f>B170</f>
        <v>1606571</v>
      </c>
      <c r="C198" s="3">
        <f>B171</f>
        <v>8555373</v>
      </c>
      <c r="D198" s="3">
        <f>B172</f>
        <v>8647202</v>
      </c>
      <c r="E198" s="121">
        <f>5250000+1750000</f>
        <v>7000000</v>
      </c>
      <c r="F198" s="3">
        <f>5438000+1813000</f>
        <v>7251000</v>
      </c>
      <c r="G198" s="3">
        <f>0.75*(5625000+1875000)</f>
        <v>5625000</v>
      </c>
    </row>
    <row r="199" spans="1:9" x14ac:dyDescent="0.25">
      <c r="A199" s="88" t="s">
        <v>98</v>
      </c>
      <c r="B199" s="3">
        <f>B178</f>
        <v>52500</v>
      </c>
      <c r="C199" s="3">
        <f>B179</f>
        <v>150000</v>
      </c>
      <c r="D199" s="3">
        <f>B180</f>
        <v>150000</v>
      </c>
      <c r="E199" s="3">
        <v>200000</v>
      </c>
      <c r="F199" s="3">
        <f>112500+37500</f>
        <v>150000</v>
      </c>
      <c r="G199" s="3">
        <f>0.75*(75000+25000)</f>
        <v>75000</v>
      </c>
    </row>
    <row r="200" spans="1:9" x14ac:dyDescent="0.25">
      <c r="A200" s="88" t="s">
        <v>97</v>
      </c>
      <c r="B200" s="79"/>
      <c r="C200" s="79"/>
      <c r="D200" s="79">
        <f>B186</f>
        <v>500000</v>
      </c>
      <c r="E200" s="117"/>
      <c r="F200" s="79"/>
      <c r="G200" s="79"/>
    </row>
    <row r="201" spans="1:9" ht="15.75" thickBot="1" x14ac:dyDescent="0.3">
      <c r="A201" s="88" t="s">
        <v>137</v>
      </c>
      <c r="B201" s="91"/>
      <c r="C201" s="118"/>
      <c r="D201" s="47">
        <v>48448</v>
      </c>
      <c r="E201" s="47">
        <v>73920</v>
      </c>
      <c r="F201" s="47">
        <v>104160</v>
      </c>
      <c r="G201" s="47">
        <v>119280</v>
      </c>
    </row>
    <row r="202" spans="1:9" ht="18.75" x14ac:dyDescent="0.3">
      <c r="A202" s="88"/>
      <c r="B202" s="119">
        <f>SUM(B198:B201)</f>
        <v>1659071</v>
      </c>
      <c r="C202" s="119">
        <f t="shared" ref="C202:D202" si="4">SUM(C198:C201)</f>
        <v>8705373</v>
      </c>
      <c r="D202" s="119">
        <f t="shared" si="4"/>
        <v>9345650</v>
      </c>
      <c r="E202" s="119">
        <f>SUM(E198:E201)</f>
        <v>7273920</v>
      </c>
      <c r="F202" s="119">
        <f t="shared" ref="F202:G202" si="5">SUM(F198:F201)</f>
        <v>7505160</v>
      </c>
      <c r="G202" s="119">
        <f t="shared" si="5"/>
        <v>5819280</v>
      </c>
    </row>
    <row r="203" spans="1:9" ht="18.75" x14ac:dyDescent="0.3">
      <c r="B203" s="29"/>
      <c r="C203" s="29"/>
      <c r="D203" s="120" t="s">
        <v>108</v>
      </c>
      <c r="E203" s="29"/>
      <c r="F203" s="29"/>
      <c r="G203" s="29"/>
    </row>
    <row r="204" spans="1:9" ht="18.75" x14ac:dyDescent="0.3">
      <c r="B204" s="29"/>
      <c r="C204" s="29"/>
      <c r="D204" s="120">
        <f>SUM(B202:G202)</f>
        <v>40308454</v>
      </c>
      <c r="E204" s="27"/>
      <c r="F204" s="29"/>
      <c r="G204" s="29"/>
    </row>
    <row r="205" spans="1:9" x14ac:dyDescent="0.25">
      <c r="B205" s="3"/>
      <c r="D205" s="3"/>
      <c r="G205"/>
    </row>
    <row r="206" spans="1:9" ht="15.75" thickBot="1" x14ac:dyDescent="0.3">
      <c r="B206" s="3"/>
      <c r="D206" s="3"/>
      <c r="G206"/>
    </row>
    <row r="207" spans="1:9" ht="15.75" x14ac:dyDescent="0.25">
      <c r="A207" s="122" t="s">
        <v>143</v>
      </c>
      <c r="B207" s="123">
        <f>-E160</f>
        <v>-30665512.899999999</v>
      </c>
    </row>
    <row r="208" spans="1:9" ht="16.5" thickBot="1" x14ac:dyDescent="0.3">
      <c r="A208" s="124" t="s">
        <v>144</v>
      </c>
      <c r="B208" s="125">
        <f>D204</f>
        <v>40308454</v>
      </c>
    </row>
    <row r="209" spans="1:7" ht="16.5" thickBot="1" x14ac:dyDescent="0.3">
      <c r="A209" s="126" t="s">
        <v>145</v>
      </c>
      <c r="B209" s="125">
        <f>B207+B208</f>
        <v>9642941.1000000015</v>
      </c>
    </row>
    <row r="210" spans="1:7" ht="15.75" thickBot="1" x14ac:dyDescent="0.3"/>
    <row r="211" spans="1:7" ht="15" customHeight="1" x14ac:dyDescent="0.25">
      <c r="A211" s="359" t="s">
        <v>165</v>
      </c>
      <c r="B211" s="360"/>
      <c r="C211" s="360"/>
      <c r="D211" s="360"/>
      <c r="E211" s="360"/>
      <c r="F211" s="361"/>
      <c r="G211" s="128"/>
    </row>
    <row r="212" spans="1:7" ht="15" customHeight="1" x14ac:dyDescent="0.25">
      <c r="A212" s="362"/>
      <c r="B212" s="363"/>
      <c r="C212" s="363"/>
      <c r="D212" s="363"/>
      <c r="E212" s="363"/>
      <c r="F212" s="364"/>
      <c r="G212" s="128"/>
    </row>
    <row r="213" spans="1:7" ht="15" customHeight="1" x14ac:dyDescent="0.25">
      <c r="A213" s="362"/>
      <c r="B213" s="363"/>
      <c r="C213" s="363"/>
      <c r="D213" s="363"/>
      <c r="E213" s="363"/>
      <c r="F213" s="364"/>
      <c r="G213" s="128"/>
    </row>
    <row r="214" spans="1:7" ht="15" customHeight="1" x14ac:dyDescent="0.25">
      <c r="A214" s="362"/>
      <c r="B214" s="363"/>
      <c r="C214" s="363"/>
      <c r="D214" s="363"/>
      <c r="E214" s="363"/>
      <c r="F214" s="364"/>
      <c r="G214" s="128"/>
    </row>
    <row r="215" spans="1:7" ht="15" customHeight="1" thickBot="1" x14ac:dyDescent="0.3">
      <c r="A215" s="365"/>
      <c r="B215" s="366"/>
      <c r="C215" s="366"/>
      <c r="D215" s="366"/>
      <c r="E215" s="366"/>
      <c r="F215" s="367"/>
      <c r="G215" s="128"/>
    </row>
    <row r="216" spans="1:7" ht="15" customHeight="1" x14ac:dyDescent="0.25">
      <c r="A216" s="128"/>
      <c r="B216" s="128"/>
      <c r="C216" s="128"/>
      <c r="D216" s="128"/>
      <c r="E216" s="128"/>
      <c r="F216" s="128"/>
      <c r="G216" s="128"/>
    </row>
    <row r="217" spans="1:7" ht="15" customHeight="1" x14ac:dyDescent="0.25">
      <c r="A217" s="128"/>
      <c r="B217" s="128"/>
      <c r="C217" s="128"/>
      <c r="D217" s="128"/>
      <c r="E217" s="128"/>
      <c r="F217" s="128"/>
      <c r="G217" s="128"/>
    </row>
  </sheetData>
  <mergeCells count="6">
    <mergeCell ref="A211:F215"/>
    <mergeCell ref="D40:E40"/>
    <mergeCell ref="D75:E75"/>
    <mergeCell ref="D106:E106"/>
    <mergeCell ref="H132:K139"/>
    <mergeCell ref="A160:D16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64"/>
  <sheetViews>
    <sheetView topLeftCell="A10" zoomScale="93" zoomScaleNormal="93" workbookViewId="0">
      <selection activeCell="A10" sqref="A1:XFD1048576"/>
    </sheetView>
  </sheetViews>
  <sheetFormatPr defaultRowHeight="15" x14ac:dyDescent="0.25"/>
  <cols>
    <col min="1" max="1" width="49" customWidth="1"/>
    <col min="2" max="2" width="17.85546875" customWidth="1"/>
    <col min="3" max="3" width="16.7109375" style="22" customWidth="1"/>
    <col min="4" max="4" width="16.7109375" style="2" customWidth="1"/>
    <col min="5" max="5" width="24.28515625" style="3" customWidth="1"/>
    <col min="6" max="6" width="19.5703125" style="3" customWidth="1"/>
    <col min="7" max="7" width="15.42578125" style="3" customWidth="1"/>
    <col min="8" max="8" width="20.7109375" style="3" customWidth="1"/>
    <col min="9" max="9" width="15.85546875" style="3" customWidth="1"/>
    <col min="10" max="10" width="20.5703125" style="3" customWidth="1"/>
    <col min="11" max="11" width="12" bestFit="1" customWidth="1"/>
    <col min="13" max="13" width="11.85546875" bestFit="1" customWidth="1"/>
  </cols>
  <sheetData>
    <row r="1" spans="1:10" s="9" customFormat="1" ht="61.5" x14ac:dyDescent="0.35">
      <c r="A1" s="164" t="s">
        <v>30</v>
      </c>
      <c r="B1" s="16"/>
      <c r="C1" s="108" t="s">
        <v>138</v>
      </c>
      <c r="D1" s="17" t="s">
        <v>77</v>
      </c>
      <c r="E1" s="17" t="s">
        <v>78</v>
      </c>
      <c r="F1" s="17" t="s">
        <v>139</v>
      </c>
      <c r="G1" s="17"/>
      <c r="H1" s="18" t="s">
        <v>38</v>
      </c>
      <c r="I1" s="92" t="s">
        <v>112</v>
      </c>
      <c r="J1" s="17" t="s">
        <v>228</v>
      </c>
    </row>
    <row r="2" spans="1:10" ht="18.75" x14ac:dyDescent="0.3">
      <c r="A2" s="5"/>
      <c r="B2" s="21"/>
      <c r="E2" s="2"/>
      <c r="F2" s="2"/>
      <c r="G2" s="116"/>
      <c r="I2" s="2"/>
    </row>
    <row r="3" spans="1:10" ht="36" customHeight="1" thickBot="1" x14ac:dyDescent="0.35">
      <c r="A3" s="173" t="s">
        <v>52</v>
      </c>
      <c r="B3" s="35"/>
      <c r="D3" s="374"/>
      <c r="E3" s="374"/>
      <c r="G3" s="22"/>
    </row>
    <row r="4" spans="1:10" ht="15.75" thickTop="1" x14ac:dyDescent="0.25">
      <c r="A4" s="4" t="s">
        <v>252</v>
      </c>
      <c r="B4" s="35"/>
      <c r="D4" s="24"/>
      <c r="E4" s="25">
        <v>423000</v>
      </c>
      <c r="F4" s="79"/>
      <c r="G4" s="31"/>
    </row>
    <row r="5" spans="1:10" x14ac:dyDescent="0.25">
      <c r="A5" t="s">
        <v>236</v>
      </c>
      <c r="B5" s="35"/>
      <c r="C5"/>
      <c r="D5"/>
      <c r="E5" s="121">
        <v>43000</v>
      </c>
      <c r="F5"/>
      <c r="G5"/>
      <c r="H5"/>
      <c r="I5"/>
      <c r="J5"/>
    </row>
    <row r="6" spans="1:10" x14ac:dyDescent="0.25">
      <c r="A6" s="4" t="s">
        <v>97</v>
      </c>
      <c r="B6" s="35"/>
      <c r="D6" s="24"/>
      <c r="E6" s="25">
        <v>-500000</v>
      </c>
      <c r="F6" s="79"/>
      <c r="G6" s="31"/>
    </row>
    <row r="7" spans="1:10" x14ac:dyDescent="0.25">
      <c r="A7" s="4" t="s">
        <v>50</v>
      </c>
      <c r="B7" s="35"/>
      <c r="D7" s="24"/>
      <c r="E7" s="25"/>
      <c r="F7" s="79">
        <f>SUM(E4:E6)</f>
        <v>-34000</v>
      </c>
      <c r="G7" s="31"/>
    </row>
    <row r="8" spans="1:10" x14ac:dyDescent="0.25">
      <c r="A8" s="4"/>
      <c r="B8" s="35"/>
      <c r="D8" s="24"/>
      <c r="E8" s="25"/>
      <c r="F8" s="79"/>
      <c r="G8" s="31"/>
    </row>
    <row r="9" spans="1:10" x14ac:dyDescent="0.25">
      <c r="A9" s="6" t="s">
        <v>269</v>
      </c>
      <c r="B9" s="35"/>
      <c r="D9" s="24"/>
      <c r="E9" s="25"/>
      <c r="F9" s="79"/>
      <c r="G9" s="31"/>
    </row>
    <row r="10" spans="1:10" x14ac:dyDescent="0.25">
      <c r="A10" s="42" t="s">
        <v>268</v>
      </c>
      <c r="B10" s="35"/>
      <c r="D10" s="39"/>
      <c r="E10" s="40">
        <v>89000</v>
      </c>
      <c r="F10" s="79"/>
      <c r="G10" s="31"/>
    </row>
    <row r="11" spans="1:10" x14ac:dyDescent="0.25">
      <c r="A11" s="42" t="s">
        <v>267</v>
      </c>
      <c r="B11" s="35"/>
      <c r="D11" s="39"/>
      <c r="E11" s="40">
        <v>567303</v>
      </c>
      <c r="F11" s="79"/>
      <c r="G11" s="31"/>
    </row>
    <row r="12" spans="1:10" ht="30" x14ac:dyDescent="0.25">
      <c r="A12" s="43" t="s">
        <v>161</v>
      </c>
      <c r="B12" s="35"/>
      <c r="D12" s="39"/>
      <c r="E12" s="40">
        <v>58000</v>
      </c>
      <c r="F12" s="79"/>
      <c r="G12" s="31"/>
    </row>
    <row r="13" spans="1:10" ht="15.75" thickBot="1" x14ac:dyDescent="0.3">
      <c r="A13" s="42" t="s">
        <v>19</v>
      </c>
      <c r="B13" s="35"/>
      <c r="D13" s="39"/>
      <c r="E13" s="169">
        <v>35000</v>
      </c>
      <c r="F13" s="79"/>
      <c r="G13" s="31"/>
    </row>
    <row r="14" spans="1:10" x14ac:dyDescent="0.25">
      <c r="A14" s="1"/>
      <c r="B14" s="35"/>
      <c r="D14" s="39"/>
      <c r="E14" s="170" t="s">
        <v>162</v>
      </c>
      <c r="F14" s="79">
        <f>SUM(E10:E13)</f>
        <v>749303</v>
      </c>
      <c r="G14" s="31"/>
    </row>
    <row r="15" spans="1:10" x14ac:dyDescent="0.25">
      <c r="A15" s="6" t="s">
        <v>25</v>
      </c>
      <c r="B15" s="35"/>
      <c r="D15" s="39"/>
      <c r="E15" s="40"/>
      <c r="F15" s="79"/>
      <c r="G15" s="31"/>
    </row>
    <row r="16" spans="1:10" x14ac:dyDescent="0.25">
      <c r="A16" s="166" t="s">
        <v>223</v>
      </c>
      <c r="B16" s="35"/>
      <c r="D16" s="40"/>
      <c r="E16" s="40">
        <v>1028000</v>
      </c>
      <c r="F16" s="79"/>
      <c r="G16" s="31"/>
      <c r="H16" s="50" t="s">
        <v>229</v>
      </c>
    </row>
    <row r="17" spans="1:10" x14ac:dyDescent="0.25">
      <c r="A17" s="166" t="s">
        <v>224</v>
      </c>
      <c r="B17" s="35"/>
      <c r="D17" s="40">
        <f>2862000-E16</f>
        <v>1834000</v>
      </c>
      <c r="E17" s="40"/>
      <c r="F17" s="79"/>
      <c r="G17" s="31"/>
      <c r="H17" s="3">
        <f>E16+D17</f>
        <v>2862000</v>
      </c>
    </row>
    <row r="18" spans="1:10" x14ac:dyDescent="0.25">
      <c r="A18" s="166" t="s">
        <v>231</v>
      </c>
      <c r="B18" s="35"/>
      <c r="D18" s="40">
        <v>64000</v>
      </c>
      <c r="E18" s="40">
        <v>36000</v>
      </c>
      <c r="F18" s="79"/>
      <c r="G18" s="31"/>
      <c r="H18" s="50" t="s">
        <v>234</v>
      </c>
      <c r="J18" s="3">
        <v>100000</v>
      </c>
    </row>
    <row r="19" spans="1:10" ht="29.25" customHeight="1" x14ac:dyDescent="0.25">
      <c r="A19" s="168" t="s">
        <v>235</v>
      </c>
      <c r="B19" s="35"/>
      <c r="D19" s="40">
        <f>0.64*186200</f>
        <v>119168</v>
      </c>
      <c r="E19" s="40">
        <f>0.36*186200</f>
        <v>67032</v>
      </c>
      <c r="F19" s="79"/>
      <c r="G19" s="31"/>
      <c r="H19" s="50" t="s">
        <v>234</v>
      </c>
      <c r="J19" s="3">
        <v>186200</v>
      </c>
    </row>
    <row r="20" spans="1:10" x14ac:dyDescent="0.25">
      <c r="A20" s="166" t="s">
        <v>218</v>
      </c>
      <c r="B20" s="35"/>
      <c r="D20" s="40">
        <v>13100</v>
      </c>
      <c r="E20" s="40"/>
      <c r="F20" s="79"/>
      <c r="G20" s="31"/>
      <c r="H20" s="167"/>
    </row>
    <row r="21" spans="1:10" x14ac:dyDescent="0.25">
      <c r="A21" s="166" t="s">
        <v>219</v>
      </c>
      <c r="B21" s="35"/>
      <c r="D21" s="40">
        <v>31800</v>
      </c>
      <c r="E21" s="40"/>
      <c r="F21" s="79"/>
      <c r="G21" s="31"/>
      <c r="H21" s="167"/>
    </row>
    <row r="22" spans="1:10" x14ac:dyDescent="0.25">
      <c r="A22" s="166" t="s">
        <v>220</v>
      </c>
      <c r="B22" s="35"/>
      <c r="D22" s="40">
        <v>67965</v>
      </c>
      <c r="E22" s="40"/>
      <c r="F22" s="79"/>
      <c r="G22" s="31"/>
    </row>
    <row r="23" spans="1:10" x14ac:dyDescent="0.25">
      <c r="A23" s="166" t="s">
        <v>221</v>
      </c>
      <c r="B23" s="35"/>
      <c r="D23" s="40">
        <v>50000</v>
      </c>
      <c r="E23" s="40"/>
      <c r="F23" s="79"/>
      <c r="G23" s="31"/>
    </row>
    <row r="24" spans="1:10" x14ac:dyDescent="0.25">
      <c r="A24" s="166" t="s">
        <v>222</v>
      </c>
      <c r="B24" s="35"/>
      <c r="D24" s="40">
        <v>23000</v>
      </c>
      <c r="E24" s="40"/>
      <c r="F24" s="79"/>
      <c r="G24" s="31"/>
      <c r="H24" s="3">
        <f>C24+F24</f>
        <v>0</v>
      </c>
    </row>
    <row r="25" spans="1:10" ht="15.75" thickBot="1" x14ac:dyDescent="0.3">
      <c r="A25" s="42" t="s">
        <v>227</v>
      </c>
      <c r="B25" s="35"/>
      <c r="D25" s="171">
        <v>19444</v>
      </c>
      <c r="E25" s="169">
        <v>19444</v>
      </c>
      <c r="F25" s="79"/>
      <c r="G25" s="31"/>
      <c r="J25" s="3">
        <v>38888</v>
      </c>
    </row>
    <row r="26" spans="1:10" x14ac:dyDescent="0.25">
      <c r="A26" s="4"/>
      <c r="B26" s="35"/>
      <c r="C26" s="22">
        <f>SUM(D16:D25)</f>
        <v>2222477</v>
      </c>
      <c r="D26" s="172" t="s">
        <v>164</v>
      </c>
      <c r="E26" s="170" t="s">
        <v>162</v>
      </c>
      <c r="F26" s="79">
        <f>SUM(E16:E25)</f>
        <v>1150476</v>
      </c>
      <c r="G26" s="31"/>
    </row>
    <row r="27" spans="1:10" x14ac:dyDescent="0.25">
      <c r="A27" s="4"/>
      <c r="B27" s="35"/>
      <c r="D27" s="39"/>
      <c r="E27" s="40"/>
      <c r="F27" s="79"/>
      <c r="G27" s="31"/>
    </row>
    <row r="28" spans="1:10" x14ac:dyDescent="0.25">
      <c r="A28" s="44" t="s">
        <v>28</v>
      </c>
      <c r="B28" s="35"/>
      <c r="D28" s="39"/>
      <c r="E28" s="40"/>
      <c r="F28" s="79"/>
      <c r="G28" s="31"/>
    </row>
    <row r="29" spans="1:10" x14ac:dyDescent="0.25">
      <c r="A29" s="42" t="s">
        <v>225</v>
      </c>
      <c r="B29" s="35"/>
      <c r="D29" s="39"/>
      <c r="E29" s="40">
        <v>332000</v>
      </c>
      <c r="F29" s="79"/>
      <c r="G29" s="31" t="s">
        <v>124</v>
      </c>
    </row>
    <row r="30" spans="1:10" x14ac:dyDescent="0.25">
      <c r="A30" s="42" t="s">
        <v>116</v>
      </c>
      <c r="B30" s="35"/>
      <c r="D30" s="39"/>
      <c r="E30" s="40">
        <f>0.15*E29</f>
        <v>49800</v>
      </c>
      <c r="F30" s="79"/>
      <c r="G30" s="31" t="s">
        <v>136</v>
      </c>
      <c r="J30" s="3">
        <v>49800</v>
      </c>
    </row>
    <row r="31" spans="1:10" x14ac:dyDescent="0.25">
      <c r="A31" s="45" t="s">
        <v>20</v>
      </c>
      <c r="B31" s="35"/>
      <c r="D31" s="39"/>
      <c r="E31" s="40">
        <v>59167</v>
      </c>
      <c r="F31" s="79"/>
      <c r="G31" s="31" t="s">
        <v>125</v>
      </c>
    </row>
    <row r="32" spans="1:10" x14ac:dyDescent="0.25">
      <c r="A32" s="45" t="s">
        <v>21</v>
      </c>
      <c r="B32" s="35"/>
      <c r="D32" s="39"/>
      <c r="E32" s="40">
        <v>16271</v>
      </c>
      <c r="F32" s="79"/>
      <c r="G32" s="31" t="s">
        <v>126</v>
      </c>
    </row>
    <row r="33" spans="1:13" x14ac:dyDescent="0.25">
      <c r="A33" s="45" t="s">
        <v>117</v>
      </c>
      <c r="B33" s="35"/>
      <c r="D33" s="39"/>
      <c r="E33" s="40">
        <v>40000</v>
      </c>
      <c r="F33" s="79"/>
      <c r="G33" s="31" t="s">
        <v>127</v>
      </c>
    </row>
    <row r="34" spans="1:13" x14ac:dyDescent="0.25">
      <c r="A34" s="45" t="s">
        <v>23</v>
      </c>
      <c r="B34" s="35"/>
      <c r="D34" s="39"/>
      <c r="E34" s="40">
        <v>50000</v>
      </c>
      <c r="F34" s="79"/>
      <c r="G34" s="31" t="s">
        <v>128</v>
      </c>
    </row>
    <row r="35" spans="1:13" x14ac:dyDescent="0.25">
      <c r="A35" s="45" t="s">
        <v>24</v>
      </c>
      <c r="B35" s="35"/>
      <c r="D35" s="39"/>
      <c r="E35" s="40">
        <v>10000</v>
      </c>
      <c r="F35" s="79"/>
      <c r="G35" s="31" t="s">
        <v>129</v>
      </c>
    </row>
    <row r="36" spans="1:13" x14ac:dyDescent="0.25">
      <c r="A36" s="45" t="s">
        <v>230</v>
      </c>
      <c r="B36" s="35"/>
      <c r="D36" s="39"/>
      <c r="E36" s="40">
        <v>91325</v>
      </c>
      <c r="F36" s="79"/>
      <c r="G36" s="20" t="s">
        <v>131</v>
      </c>
    </row>
    <row r="37" spans="1:13" x14ac:dyDescent="0.25">
      <c r="A37" s="45" t="s">
        <v>119</v>
      </c>
      <c r="B37" s="35"/>
      <c r="D37" s="39"/>
      <c r="E37" s="40">
        <v>100000</v>
      </c>
      <c r="F37" s="79"/>
      <c r="G37" s="20" t="s">
        <v>132</v>
      </c>
      <c r="M37" s="132"/>
    </row>
    <row r="38" spans="1:13" x14ac:dyDescent="0.25">
      <c r="A38" s="93" t="s">
        <v>120</v>
      </c>
      <c r="B38" s="35"/>
      <c r="D38" s="24"/>
      <c r="E38" s="25">
        <v>2500</v>
      </c>
      <c r="F38" s="79"/>
      <c r="G38" s="20" t="s">
        <v>133</v>
      </c>
      <c r="M38" s="132"/>
    </row>
    <row r="39" spans="1:13" x14ac:dyDescent="0.25">
      <c r="A39" s="93" t="s">
        <v>121</v>
      </c>
      <c r="B39" s="35"/>
      <c r="D39" s="24"/>
      <c r="E39" s="25">
        <v>100</v>
      </c>
      <c r="F39" s="79"/>
      <c r="G39" s="20" t="s">
        <v>134</v>
      </c>
    </row>
    <row r="40" spans="1:13" x14ac:dyDescent="0.25">
      <c r="A40" s="93" t="s">
        <v>122</v>
      </c>
      <c r="B40" s="35"/>
      <c r="D40" s="24"/>
      <c r="E40" s="25">
        <v>20000</v>
      </c>
      <c r="F40" s="79"/>
      <c r="G40" s="20" t="s">
        <v>135</v>
      </c>
    </row>
    <row r="41" spans="1:13" ht="15.75" thickBot="1" x14ac:dyDescent="0.3">
      <c r="A41" s="93" t="s">
        <v>123</v>
      </c>
      <c r="B41" s="35"/>
      <c r="D41" s="24"/>
      <c r="E41" s="130">
        <f>0.15*771163</f>
        <v>115674.45</v>
      </c>
      <c r="F41" s="79"/>
      <c r="G41" s="31" t="s">
        <v>130</v>
      </c>
      <c r="J41" s="3">
        <v>115476</v>
      </c>
    </row>
    <row r="42" spans="1:13" x14ac:dyDescent="0.25">
      <c r="A42" s="7"/>
      <c r="B42" s="35"/>
      <c r="D42" s="24"/>
      <c r="E42" s="69" t="s">
        <v>163</v>
      </c>
      <c r="F42" s="79">
        <f>SUM(E29:E41)</f>
        <v>886837.45</v>
      </c>
      <c r="G42" s="31"/>
    </row>
    <row r="43" spans="1:13" x14ac:dyDescent="0.25">
      <c r="A43" s="7"/>
      <c r="B43" s="35"/>
      <c r="D43" s="24"/>
      <c r="E43" s="69"/>
      <c r="F43" s="79"/>
      <c r="G43" s="31"/>
    </row>
    <row r="44" spans="1:13" x14ac:dyDescent="0.25">
      <c r="A44" s="6" t="s">
        <v>40</v>
      </c>
      <c r="B44" s="35"/>
      <c r="D44" s="24"/>
      <c r="E44" s="25"/>
      <c r="F44" s="79"/>
      <c r="G44" s="31"/>
    </row>
    <row r="45" spans="1:13" ht="30.75" thickBot="1" x14ac:dyDescent="0.3">
      <c r="A45" s="71" t="s">
        <v>39</v>
      </c>
      <c r="B45" s="35"/>
      <c r="C45" s="186"/>
      <c r="D45" s="72"/>
      <c r="E45" s="130">
        <v>2000000</v>
      </c>
      <c r="F45" s="187">
        <v>2000000</v>
      </c>
      <c r="G45" s="31"/>
      <c r="H45" s="2" t="s">
        <v>111</v>
      </c>
      <c r="I45" s="3">
        <v>500000</v>
      </c>
    </row>
    <row r="46" spans="1:13" s="53" customFormat="1" ht="18.75" x14ac:dyDescent="0.3">
      <c r="A46" s="180" t="s">
        <v>85</v>
      </c>
      <c r="B46" s="176"/>
      <c r="C46" s="178">
        <f>SUM(C12:C45)</f>
        <v>2222477</v>
      </c>
      <c r="D46" s="181">
        <f>SUM(D4:D45)</f>
        <v>2222477</v>
      </c>
      <c r="E46" s="179">
        <f>SUM(E4:E45)</f>
        <v>4752616.45</v>
      </c>
      <c r="F46" s="181">
        <f>SUM(F4:F45)</f>
        <v>4752616.45</v>
      </c>
      <c r="G46" s="51"/>
      <c r="H46" s="52"/>
      <c r="I46" s="52"/>
      <c r="J46" s="52"/>
      <c r="K46" s="190" t="s">
        <v>232</v>
      </c>
    </row>
    <row r="47" spans="1:13" s="53" customFormat="1" ht="18.75" x14ac:dyDescent="0.3">
      <c r="A47" s="175" t="s">
        <v>79</v>
      </c>
      <c r="B47" s="371"/>
      <c r="C47" s="372"/>
      <c r="D47" s="379">
        <f>D46+E46</f>
        <v>6975093.4500000002</v>
      </c>
      <c r="E47" s="379"/>
      <c r="F47" s="177"/>
      <c r="G47" s="51"/>
      <c r="H47" s="52"/>
      <c r="I47" s="52"/>
      <c r="J47" s="52"/>
      <c r="K47" s="189">
        <f>SUM(J4:J41)</f>
        <v>490364</v>
      </c>
    </row>
    <row r="48" spans="1:13" s="53" customFormat="1" ht="15.75" x14ac:dyDescent="0.25">
      <c r="A48" s="54"/>
      <c r="B48" s="57"/>
      <c r="C48" s="58"/>
      <c r="D48" s="70"/>
      <c r="E48" s="70"/>
      <c r="F48" s="70"/>
      <c r="G48" s="58"/>
      <c r="H48" s="52"/>
      <c r="I48" s="52"/>
      <c r="J48" s="52"/>
    </row>
    <row r="49" spans="1:10" s="53" customFormat="1" ht="15.75" x14ac:dyDescent="0.25">
      <c r="A49" s="54"/>
      <c r="B49" s="57"/>
      <c r="C49" s="58"/>
      <c r="D49" s="70"/>
      <c r="E49" s="70"/>
      <c r="F49" s="70"/>
      <c r="G49" s="58"/>
      <c r="H49" s="52"/>
      <c r="I49" s="52"/>
      <c r="J49" s="52"/>
    </row>
    <row r="50" spans="1:10" s="53" customFormat="1" ht="15.75" x14ac:dyDescent="0.25">
      <c r="A50" s="54"/>
      <c r="B50" s="57"/>
      <c r="C50" s="58"/>
      <c r="D50" s="70"/>
      <c r="E50" s="70"/>
      <c r="F50" s="70"/>
      <c r="G50" s="58"/>
      <c r="H50" s="52"/>
      <c r="I50" s="52"/>
      <c r="J50" s="52"/>
    </row>
    <row r="51" spans="1:10" s="53" customFormat="1" ht="15.75" x14ac:dyDescent="0.25">
      <c r="A51" s="54"/>
      <c r="B51" s="57"/>
      <c r="C51" s="58"/>
      <c r="D51" s="70"/>
      <c r="E51" s="70"/>
      <c r="F51" s="70"/>
      <c r="G51" s="58"/>
      <c r="H51" s="52"/>
      <c r="I51" s="52"/>
      <c r="J51" s="52"/>
    </row>
    <row r="52" spans="1:10" s="53" customFormat="1" ht="15.75" x14ac:dyDescent="0.25">
      <c r="A52" s="54"/>
      <c r="B52" s="57"/>
      <c r="C52" s="58"/>
      <c r="D52" s="70"/>
      <c r="E52" s="70"/>
      <c r="F52" s="70"/>
      <c r="G52" s="58"/>
      <c r="H52" s="52"/>
      <c r="I52" s="52"/>
      <c r="J52" s="52"/>
    </row>
    <row r="53" spans="1:10" s="9" customFormat="1" ht="61.5" x14ac:dyDescent="0.35">
      <c r="A53" s="164" t="s">
        <v>30</v>
      </c>
      <c r="B53" s="16"/>
      <c r="C53" s="108" t="s">
        <v>138</v>
      </c>
      <c r="D53" s="17" t="s">
        <v>77</v>
      </c>
      <c r="E53" s="17" t="s">
        <v>78</v>
      </c>
      <c r="F53" s="17" t="s">
        <v>139</v>
      </c>
      <c r="G53" s="17"/>
      <c r="H53" s="18" t="s">
        <v>38</v>
      </c>
      <c r="I53" s="92" t="s">
        <v>112</v>
      </c>
      <c r="J53" s="17" t="s">
        <v>228</v>
      </c>
    </row>
    <row r="54" spans="1:10" ht="37.5" customHeight="1" x14ac:dyDescent="0.3">
      <c r="A54" s="174" t="s">
        <v>253</v>
      </c>
      <c r="B54" s="35"/>
      <c r="D54" s="374"/>
      <c r="E54" s="374"/>
      <c r="F54" s="79"/>
      <c r="G54" s="22"/>
    </row>
    <row r="55" spans="1:10" x14ac:dyDescent="0.25">
      <c r="A55" s="46" t="s">
        <v>31</v>
      </c>
      <c r="B55" s="35"/>
      <c r="D55" s="24"/>
      <c r="E55" s="24">
        <v>500000</v>
      </c>
      <c r="F55" s="78">
        <f>E55</f>
        <v>500000</v>
      </c>
      <c r="G55" s="31"/>
    </row>
    <row r="56" spans="1:10" x14ac:dyDescent="0.25">
      <c r="B56" s="35"/>
      <c r="D56" s="24"/>
      <c r="E56" s="25"/>
      <c r="F56" s="79"/>
      <c r="G56" s="31"/>
    </row>
    <row r="57" spans="1:10" x14ac:dyDescent="0.25">
      <c r="A57" s="6" t="s">
        <v>226</v>
      </c>
      <c r="B57" s="35"/>
      <c r="D57" s="24"/>
      <c r="E57" s="25"/>
      <c r="F57" s="79"/>
      <c r="G57" s="31"/>
    </row>
    <row r="58" spans="1:10" x14ac:dyDescent="0.25">
      <c r="A58" s="42" t="s">
        <v>16</v>
      </c>
      <c r="B58" s="35"/>
      <c r="D58" s="24"/>
      <c r="E58" s="25">
        <v>260000</v>
      </c>
      <c r="F58" s="79"/>
      <c r="G58" s="31"/>
    </row>
    <row r="59" spans="1:10" x14ac:dyDescent="0.25">
      <c r="A59" s="42" t="s">
        <v>270</v>
      </c>
      <c r="B59" s="35"/>
      <c r="D59" s="24"/>
      <c r="E59" s="25">
        <v>1272750</v>
      </c>
      <c r="F59" s="79"/>
      <c r="G59" s="31"/>
    </row>
    <row r="60" spans="1:10" x14ac:dyDescent="0.25">
      <c r="A60" s="42" t="s">
        <v>271</v>
      </c>
      <c r="B60" s="35"/>
      <c r="D60" s="207"/>
      <c r="E60" s="25">
        <v>522195</v>
      </c>
      <c r="F60" s="79"/>
      <c r="G60" s="31"/>
    </row>
    <row r="61" spans="1:10" ht="30" x14ac:dyDescent="0.25">
      <c r="A61" s="43" t="s">
        <v>18</v>
      </c>
      <c r="B61" s="35"/>
      <c r="D61" s="24"/>
      <c r="E61" s="25">
        <v>270000</v>
      </c>
      <c r="F61" s="79"/>
      <c r="G61" s="31"/>
    </row>
    <row r="62" spans="1:10" x14ac:dyDescent="0.25">
      <c r="A62" s="42" t="s">
        <v>19</v>
      </c>
      <c r="B62" s="35"/>
      <c r="D62" s="24"/>
      <c r="E62" s="73">
        <v>60000</v>
      </c>
      <c r="F62" s="79"/>
      <c r="G62" s="31"/>
    </row>
    <row r="63" spans="1:10" ht="15.75" thickBot="1" x14ac:dyDescent="0.3">
      <c r="A63" s="188" t="s">
        <v>238</v>
      </c>
      <c r="B63" s="35"/>
      <c r="D63" s="24"/>
      <c r="E63" s="130">
        <v>238496</v>
      </c>
      <c r="F63" s="79"/>
      <c r="G63" s="31"/>
      <c r="J63" s="3">
        <f>E63</f>
        <v>238496</v>
      </c>
    </row>
    <row r="64" spans="1:10" x14ac:dyDescent="0.25">
      <c r="A64" s="4"/>
      <c r="B64" s="35"/>
      <c r="D64" s="24"/>
      <c r="E64" s="69" t="s">
        <v>162</v>
      </c>
      <c r="F64" s="79">
        <f>SUM(E58:E63)</f>
        <v>2623441</v>
      </c>
      <c r="G64" s="31"/>
    </row>
    <row r="65" spans="1:10" x14ac:dyDescent="0.25">
      <c r="A65" s="6" t="s">
        <v>25</v>
      </c>
      <c r="B65" s="35"/>
      <c r="D65" s="24"/>
      <c r="E65" s="25"/>
      <c r="F65" s="79"/>
      <c r="G65" s="31"/>
    </row>
    <row r="66" spans="1:10" ht="30" x14ac:dyDescent="0.25">
      <c r="A66" s="46" t="s">
        <v>25</v>
      </c>
      <c r="B66" s="35"/>
      <c r="D66" s="24">
        <v>9690000</v>
      </c>
      <c r="E66" s="25"/>
      <c r="F66" s="79"/>
      <c r="G66" s="32"/>
      <c r="H66" s="10" t="s">
        <v>37</v>
      </c>
    </row>
    <row r="67" spans="1:10" x14ac:dyDescent="0.25">
      <c r="A67" s="46" t="s">
        <v>237</v>
      </c>
      <c r="B67" s="35"/>
      <c r="D67" s="24">
        <f>0.15*D66</f>
        <v>1453500</v>
      </c>
      <c r="E67" s="25"/>
      <c r="F67" s="79"/>
      <c r="G67" s="32"/>
      <c r="J67" s="3">
        <f>D67</f>
        <v>1453500</v>
      </c>
    </row>
    <row r="68" spans="1:10" x14ac:dyDescent="0.25">
      <c r="B68" s="35"/>
      <c r="C68" s="22">
        <f>D67+D66</f>
        <v>11143500</v>
      </c>
      <c r="D68" s="24" t="s">
        <v>160</v>
      </c>
      <c r="E68" s="24"/>
      <c r="F68" s="78"/>
      <c r="G68" s="31"/>
    </row>
    <row r="69" spans="1:10" x14ac:dyDescent="0.25">
      <c r="B69" s="35"/>
      <c r="D69" s="24"/>
      <c r="E69" s="25"/>
      <c r="F69" s="79"/>
      <c r="G69" s="31"/>
    </row>
    <row r="70" spans="1:10" x14ac:dyDescent="0.25">
      <c r="A70" s="44" t="s">
        <v>28</v>
      </c>
      <c r="B70" s="35"/>
      <c r="D70" s="24"/>
      <c r="E70" s="25"/>
      <c r="F70" s="79"/>
      <c r="G70" s="31"/>
    </row>
    <row r="71" spans="1:10" x14ac:dyDescent="0.25">
      <c r="A71" s="42" t="s">
        <v>6</v>
      </c>
      <c r="B71" s="35"/>
      <c r="D71" s="24"/>
      <c r="E71" s="25">
        <v>930031</v>
      </c>
      <c r="F71" s="79"/>
      <c r="G71" s="31" t="s">
        <v>124</v>
      </c>
    </row>
    <row r="72" spans="1:10" x14ac:dyDescent="0.25">
      <c r="A72" s="42" t="s">
        <v>116</v>
      </c>
      <c r="B72" s="35"/>
      <c r="D72" s="24"/>
      <c r="E72" s="25">
        <f>0.15*E71</f>
        <v>139504.65</v>
      </c>
      <c r="F72" s="79"/>
      <c r="G72" s="31" t="s">
        <v>136</v>
      </c>
      <c r="J72" s="3">
        <v>139505</v>
      </c>
    </row>
    <row r="73" spans="1:10" x14ac:dyDescent="0.25">
      <c r="A73" s="45" t="s">
        <v>20</v>
      </c>
      <c r="B73" s="35"/>
      <c r="D73" s="24"/>
      <c r="E73" s="25">
        <v>120000</v>
      </c>
      <c r="F73" s="79"/>
      <c r="G73" s="31" t="s">
        <v>125</v>
      </c>
    </row>
    <row r="74" spans="1:10" x14ac:dyDescent="0.25">
      <c r="A74" s="45" t="s">
        <v>21</v>
      </c>
      <c r="B74" s="35"/>
      <c r="D74" s="24"/>
      <c r="E74" s="25">
        <v>93003</v>
      </c>
      <c r="F74" s="79"/>
      <c r="G74" s="31" t="s">
        <v>126</v>
      </c>
    </row>
    <row r="75" spans="1:10" x14ac:dyDescent="0.25">
      <c r="A75" s="45" t="s">
        <v>22</v>
      </c>
      <c r="B75" s="35"/>
      <c r="D75" s="24"/>
      <c r="E75" s="25">
        <v>200000</v>
      </c>
      <c r="F75" s="79"/>
      <c r="G75" s="31" t="s">
        <v>127</v>
      </c>
    </row>
    <row r="76" spans="1:10" x14ac:dyDescent="0.25">
      <c r="A76" s="45" t="s">
        <v>23</v>
      </c>
      <c r="B76" s="35"/>
      <c r="D76" s="24"/>
      <c r="E76" s="25">
        <v>300000</v>
      </c>
      <c r="F76" s="79"/>
      <c r="G76" s="31" t="s">
        <v>128</v>
      </c>
    </row>
    <row r="77" spans="1:10" x14ac:dyDescent="0.25">
      <c r="A77" s="45" t="s">
        <v>24</v>
      </c>
      <c r="B77" s="35"/>
      <c r="D77" s="24"/>
      <c r="E77" s="25">
        <v>5000</v>
      </c>
      <c r="F77" s="79"/>
      <c r="G77" s="31" t="s">
        <v>129</v>
      </c>
    </row>
    <row r="78" spans="1:10" x14ac:dyDescent="0.25">
      <c r="A78" s="45" t="s">
        <v>118</v>
      </c>
      <c r="B78" s="35"/>
      <c r="D78" s="24"/>
      <c r="E78" s="94">
        <v>0</v>
      </c>
      <c r="F78" s="100"/>
      <c r="G78" s="20" t="s">
        <v>131</v>
      </c>
    </row>
    <row r="79" spans="1:10" x14ac:dyDescent="0.25">
      <c r="A79" s="45" t="s">
        <v>119</v>
      </c>
      <c r="B79" s="35"/>
      <c r="D79" s="24"/>
      <c r="E79" s="94">
        <v>0</v>
      </c>
      <c r="F79" s="100"/>
      <c r="G79" s="20" t="s">
        <v>132</v>
      </c>
    </row>
    <row r="80" spans="1:10" x14ac:dyDescent="0.25">
      <c r="A80" s="93" t="s">
        <v>120</v>
      </c>
      <c r="B80" s="35"/>
      <c r="D80" s="24"/>
      <c r="E80" s="94">
        <v>0</v>
      </c>
      <c r="F80" s="100"/>
      <c r="G80" s="20" t="s">
        <v>133</v>
      </c>
    </row>
    <row r="81" spans="1:11" x14ac:dyDescent="0.25">
      <c r="A81" s="93" t="s">
        <v>121</v>
      </c>
      <c r="B81" s="35"/>
      <c r="D81" s="24"/>
      <c r="E81" s="94">
        <v>0</v>
      </c>
      <c r="F81" s="100"/>
      <c r="G81" s="20" t="s">
        <v>134</v>
      </c>
    </row>
    <row r="82" spans="1:11" x14ac:dyDescent="0.25">
      <c r="A82" s="93" t="s">
        <v>122</v>
      </c>
      <c r="B82" s="35"/>
      <c r="D82" s="24"/>
      <c r="E82" s="94">
        <v>0</v>
      </c>
      <c r="F82" s="100"/>
      <c r="G82" s="20" t="s">
        <v>135</v>
      </c>
    </row>
    <row r="83" spans="1:11" ht="15.75" thickBot="1" x14ac:dyDescent="0.3">
      <c r="A83" s="93" t="s">
        <v>239</v>
      </c>
      <c r="B83" s="35"/>
      <c r="D83" s="24"/>
      <c r="E83" s="130">
        <v>178754</v>
      </c>
      <c r="F83" s="79"/>
      <c r="G83" s="31"/>
      <c r="J83" s="3">
        <f>E83</f>
        <v>178754</v>
      </c>
    </row>
    <row r="84" spans="1:11" x14ac:dyDescent="0.25">
      <c r="A84" s="7"/>
      <c r="B84" s="35"/>
      <c r="D84" s="24"/>
      <c r="E84" s="69" t="s">
        <v>162</v>
      </c>
      <c r="F84" s="79">
        <f>SUM(E71:E83)</f>
        <v>1966292.65</v>
      </c>
      <c r="G84" s="31"/>
    </row>
    <row r="85" spans="1:11" x14ac:dyDescent="0.25">
      <c r="A85" s="6" t="s">
        <v>40</v>
      </c>
      <c r="B85" s="35"/>
      <c r="D85" s="24"/>
      <c r="E85" s="25"/>
      <c r="F85" s="79"/>
      <c r="G85" s="31"/>
    </row>
    <row r="86" spans="1:11" x14ac:dyDescent="0.25">
      <c r="A86" s="45" t="s">
        <v>39</v>
      </c>
      <c r="B86" s="35"/>
      <c r="D86" s="24"/>
      <c r="E86" s="94" t="s">
        <v>159</v>
      </c>
      <c r="F86" s="100"/>
      <c r="G86" s="20"/>
      <c r="H86" s="96" t="s">
        <v>48</v>
      </c>
      <c r="I86" s="96" t="s">
        <v>159</v>
      </c>
      <c r="K86" s="12" t="s">
        <v>232</v>
      </c>
    </row>
    <row r="87" spans="1:11" s="53" customFormat="1" ht="18.75" x14ac:dyDescent="0.3">
      <c r="A87" s="175" t="s">
        <v>86</v>
      </c>
      <c r="B87" s="182"/>
      <c r="C87" s="178">
        <f>SUM(C67:C86)</f>
        <v>11143500</v>
      </c>
      <c r="D87" s="183">
        <f>SUM(D55:D86)</f>
        <v>11143500</v>
      </c>
      <c r="E87" s="183">
        <f>SUM(E55:E86)</f>
        <v>5089733.6500000004</v>
      </c>
      <c r="F87" s="181">
        <f>SUM(F55:F86)</f>
        <v>5089733.6500000004</v>
      </c>
      <c r="G87" s="51"/>
      <c r="H87" s="52"/>
      <c r="I87" s="52"/>
      <c r="J87" s="52"/>
      <c r="K87" s="189">
        <f>SUM(J55:J87)</f>
        <v>2010255</v>
      </c>
    </row>
    <row r="88" spans="1:11" ht="18.75" x14ac:dyDescent="0.3">
      <c r="A88" s="175" t="s">
        <v>80</v>
      </c>
      <c r="B88" s="184"/>
      <c r="C88" s="185"/>
      <c r="D88" s="379">
        <f>D87+E87</f>
        <v>16233233.65</v>
      </c>
      <c r="E88" s="379"/>
      <c r="F88" s="177"/>
      <c r="G88" s="20"/>
      <c r="H88" s="11"/>
      <c r="I88" s="11"/>
    </row>
    <row r="89" spans="1:11" x14ac:dyDescent="0.25">
      <c r="A89" s="49"/>
      <c r="B89" s="21"/>
      <c r="D89" s="78"/>
      <c r="E89" s="78"/>
      <c r="F89" s="78"/>
      <c r="G89" s="109"/>
      <c r="H89" s="11"/>
      <c r="I89" s="11"/>
    </row>
    <row r="90" spans="1:11" x14ac:dyDescent="0.25">
      <c r="B90" s="21"/>
      <c r="D90" s="78"/>
      <c r="E90" s="79"/>
      <c r="F90" s="79"/>
      <c r="G90" s="22"/>
    </row>
    <row r="91" spans="1:11" ht="18.75" x14ac:dyDescent="0.3">
      <c r="A91" s="192" t="s">
        <v>1</v>
      </c>
      <c r="B91" s="61"/>
      <c r="C91" s="373" t="s">
        <v>2</v>
      </c>
      <c r="D91" s="373"/>
      <c r="E91" s="373"/>
      <c r="F91" s="373"/>
      <c r="G91" s="31"/>
    </row>
    <row r="92" spans="1:11" x14ac:dyDescent="0.25">
      <c r="B92" s="21"/>
      <c r="D92" s="78"/>
      <c r="E92" s="79"/>
      <c r="F92" s="79"/>
      <c r="G92" s="22"/>
    </row>
    <row r="93" spans="1:11" x14ac:dyDescent="0.25">
      <c r="B93" s="21"/>
      <c r="D93" s="78"/>
      <c r="E93" s="79"/>
      <c r="F93" s="79"/>
      <c r="G93" s="22"/>
    </row>
    <row r="94" spans="1:11" x14ac:dyDescent="0.25">
      <c r="B94" s="21"/>
      <c r="D94" s="78"/>
      <c r="E94" s="79"/>
      <c r="F94" s="79"/>
      <c r="G94" s="22"/>
    </row>
    <row r="95" spans="1:11" x14ac:dyDescent="0.25">
      <c r="B95" s="21"/>
      <c r="D95" s="78"/>
      <c r="E95" s="79"/>
      <c r="F95" s="79"/>
      <c r="G95" s="22"/>
    </row>
    <row r="96" spans="1:11" x14ac:dyDescent="0.25">
      <c r="B96" s="21"/>
      <c r="D96" s="78"/>
      <c r="E96" s="79"/>
      <c r="F96" s="79"/>
      <c r="G96" s="22"/>
    </row>
    <row r="97" spans="1:10" x14ac:dyDescent="0.25">
      <c r="B97" s="21"/>
      <c r="D97" s="78"/>
      <c r="E97" s="79"/>
      <c r="F97" s="79"/>
      <c r="G97" s="22"/>
    </row>
    <row r="98" spans="1:10" x14ac:dyDescent="0.25">
      <c r="B98" s="21"/>
      <c r="D98" s="78"/>
      <c r="E98" s="79"/>
      <c r="F98" s="79"/>
      <c r="G98" s="22"/>
    </row>
    <row r="99" spans="1:10" x14ac:dyDescent="0.25">
      <c r="B99" s="21"/>
      <c r="D99" s="78"/>
      <c r="E99" s="79"/>
      <c r="F99" s="79"/>
      <c r="G99" s="22"/>
    </row>
    <row r="100" spans="1:10" x14ac:dyDescent="0.25">
      <c r="B100" s="21"/>
      <c r="D100" s="78"/>
      <c r="E100" s="79"/>
      <c r="F100" s="79"/>
      <c r="G100" s="22"/>
    </row>
    <row r="101" spans="1:10" x14ac:dyDescent="0.25">
      <c r="B101" s="21"/>
      <c r="D101" s="78"/>
      <c r="E101" s="79"/>
      <c r="F101" s="79"/>
      <c r="G101" s="22"/>
    </row>
    <row r="102" spans="1:10" x14ac:dyDescent="0.25">
      <c r="B102" s="21"/>
      <c r="D102" s="78"/>
      <c r="E102" s="79"/>
      <c r="F102" s="79"/>
      <c r="G102" s="22"/>
    </row>
    <row r="103" spans="1:10" x14ac:dyDescent="0.25">
      <c r="B103" s="21"/>
      <c r="D103" s="78"/>
      <c r="E103" s="79"/>
      <c r="F103" s="79"/>
      <c r="G103" s="22"/>
    </row>
    <row r="104" spans="1:10" x14ac:dyDescent="0.25">
      <c r="B104" s="21"/>
      <c r="D104" s="78"/>
      <c r="E104" s="79"/>
      <c r="F104" s="79"/>
      <c r="G104" s="22"/>
    </row>
    <row r="105" spans="1:10" x14ac:dyDescent="0.25">
      <c r="B105" s="21"/>
      <c r="D105" s="78"/>
      <c r="E105" s="79"/>
      <c r="F105" s="79"/>
      <c r="G105" s="22"/>
    </row>
    <row r="106" spans="1:10" x14ac:dyDescent="0.25">
      <c r="B106" s="21"/>
      <c r="D106" s="78"/>
      <c r="E106" s="79"/>
      <c r="F106" s="79"/>
      <c r="G106" s="22"/>
    </row>
    <row r="107" spans="1:10" x14ac:dyDescent="0.25">
      <c r="B107" s="21"/>
      <c r="D107" s="78"/>
      <c r="E107" s="79"/>
      <c r="F107" s="79"/>
      <c r="G107" s="22"/>
    </row>
    <row r="108" spans="1:10" x14ac:dyDescent="0.25">
      <c r="B108" s="21"/>
      <c r="D108" s="78"/>
      <c r="E108" s="79"/>
      <c r="F108" s="79"/>
      <c r="G108" s="22"/>
    </row>
    <row r="109" spans="1:10" x14ac:dyDescent="0.25">
      <c r="B109" s="21"/>
      <c r="D109" s="78"/>
      <c r="E109" s="79"/>
      <c r="F109" s="79"/>
      <c r="G109" s="22"/>
    </row>
    <row r="110" spans="1:10" x14ac:dyDescent="0.25">
      <c r="B110" s="21"/>
      <c r="D110" s="78"/>
      <c r="E110" s="79"/>
      <c r="F110" s="79"/>
      <c r="G110" s="22"/>
    </row>
    <row r="111" spans="1:10" s="9" customFormat="1" ht="61.5" x14ac:dyDescent="0.35">
      <c r="A111" s="164" t="s">
        <v>30</v>
      </c>
      <c r="B111" s="16"/>
      <c r="C111" s="108" t="s">
        <v>138</v>
      </c>
      <c r="D111" s="17" t="s">
        <v>77</v>
      </c>
      <c r="E111" s="17" t="s">
        <v>78</v>
      </c>
      <c r="F111" s="17" t="s">
        <v>139</v>
      </c>
      <c r="G111" s="17"/>
      <c r="H111" s="18" t="s">
        <v>38</v>
      </c>
      <c r="I111" s="92" t="s">
        <v>112</v>
      </c>
      <c r="J111" s="17" t="s">
        <v>228</v>
      </c>
    </row>
    <row r="112" spans="1:10" ht="36.75" customHeight="1" x14ac:dyDescent="0.3">
      <c r="A112" s="174" t="s">
        <v>240</v>
      </c>
      <c r="B112" s="35"/>
      <c r="D112" s="375"/>
      <c r="E112" s="376"/>
      <c r="F112" s="79"/>
      <c r="G112" s="31"/>
    </row>
    <row r="113" spans="1:10" x14ac:dyDescent="0.25">
      <c r="A113" s="42" t="s">
        <v>3</v>
      </c>
      <c r="B113" s="35"/>
      <c r="E113" s="68">
        <v>277957</v>
      </c>
      <c r="F113" s="78">
        <f>E113</f>
        <v>277957</v>
      </c>
      <c r="G113" s="31"/>
      <c r="H113" s="50" t="s">
        <v>201</v>
      </c>
    </row>
    <row r="114" spans="1:10" x14ac:dyDescent="0.25">
      <c r="A114" s="4"/>
      <c r="B114" s="35"/>
      <c r="D114" s="24"/>
      <c r="E114" s="25"/>
      <c r="F114" s="79"/>
      <c r="G114" s="31"/>
    </row>
    <row r="115" spans="1:10" x14ac:dyDescent="0.25">
      <c r="A115" s="6" t="s">
        <v>26</v>
      </c>
      <c r="B115" s="35"/>
      <c r="D115" s="24"/>
      <c r="E115" s="25"/>
      <c r="F115" s="79"/>
      <c r="G115" s="31"/>
    </row>
    <row r="116" spans="1:10" x14ac:dyDescent="0.25">
      <c r="A116" s="42" t="s">
        <v>207</v>
      </c>
      <c r="B116" s="35"/>
      <c r="D116" s="24"/>
      <c r="E116" s="25">
        <v>30000</v>
      </c>
      <c r="F116" s="79">
        <f>E116</f>
        <v>30000</v>
      </c>
      <c r="G116" s="31"/>
    </row>
    <row r="117" spans="1:10" x14ac:dyDescent="0.25">
      <c r="A117" s="4"/>
      <c r="B117" s="35"/>
      <c r="D117" s="24"/>
      <c r="E117" s="25"/>
      <c r="F117" s="79"/>
      <c r="G117" s="31"/>
    </row>
    <row r="118" spans="1:10" x14ac:dyDescent="0.25">
      <c r="A118" s="6" t="s">
        <v>33</v>
      </c>
      <c r="B118" s="35"/>
      <c r="D118" s="24"/>
      <c r="E118" s="25"/>
      <c r="F118" s="79"/>
      <c r="G118" s="31"/>
    </row>
    <row r="119" spans="1:10" x14ac:dyDescent="0.25">
      <c r="A119" s="42" t="s">
        <v>32</v>
      </c>
      <c r="B119" s="35"/>
      <c r="D119" s="72">
        <v>153900</v>
      </c>
      <c r="E119" s="25"/>
      <c r="F119" s="79"/>
      <c r="G119" s="31"/>
      <c r="H119" s="50" t="s">
        <v>202</v>
      </c>
    </row>
    <row r="120" spans="1:10" x14ac:dyDescent="0.25">
      <c r="A120" s="42" t="s">
        <v>217</v>
      </c>
      <c r="B120" s="35"/>
      <c r="D120" s="24">
        <f>0.15*D119</f>
        <v>23085</v>
      </c>
      <c r="E120" s="165"/>
      <c r="F120" s="79"/>
      <c r="G120" s="31"/>
      <c r="J120" s="3">
        <f>D120</f>
        <v>23085</v>
      </c>
    </row>
    <row r="121" spans="1:10" x14ac:dyDescent="0.25">
      <c r="A121" s="42" t="s">
        <v>203</v>
      </c>
      <c r="B121" s="35"/>
      <c r="D121" s="68">
        <v>568</v>
      </c>
      <c r="E121" s="25"/>
      <c r="F121" s="79"/>
      <c r="G121" s="31"/>
    </row>
    <row r="122" spans="1:10" x14ac:dyDescent="0.25">
      <c r="A122" s="42" t="s">
        <v>8</v>
      </c>
      <c r="B122" s="35"/>
      <c r="D122" s="24">
        <v>3000</v>
      </c>
      <c r="E122" s="25"/>
      <c r="F122" s="79"/>
      <c r="G122" s="31"/>
    </row>
    <row r="123" spans="1:10" ht="15.75" thickBot="1" x14ac:dyDescent="0.3">
      <c r="A123" s="42" t="s">
        <v>204</v>
      </c>
      <c r="B123" s="35"/>
      <c r="D123" s="129">
        <v>60000</v>
      </c>
      <c r="E123" s="25"/>
      <c r="F123" s="79"/>
      <c r="G123" s="31"/>
    </row>
    <row r="124" spans="1:10" x14ac:dyDescent="0.25">
      <c r="A124" s="4"/>
      <c r="B124" s="35"/>
      <c r="C124" s="22">
        <f>SUM(D119:D123)</f>
        <v>240553</v>
      </c>
      <c r="D124" s="68" t="s">
        <v>164</v>
      </c>
      <c r="E124" s="25"/>
      <c r="F124" s="79"/>
      <c r="G124" s="31"/>
    </row>
    <row r="125" spans="1:10" x14ac:dyDescent="0.25">
      <c r="A125" s="6" t="s">
        <v>28</v>
      </c>
      <c r="B125" s="35"/>
      <c r="D125" s="24"/>
      <c r="E125" s="25"/>
      <c r="F125" s="79"/>
      <c r="G125" s="31"/>
    </row>
    <row r="126" spans="1:10" x14ac:dyDescent="0.25">
      <c r="A126" s="42" t="s">
        <v>5</v>
      </c>
      <c r="B126" s="35"/>
      <c r="D126" s="24"/>
      <c r="E126" s="25">
        <v>8500</v>
      </c>
      <c r="F126" s="79"/>
      <c r="G126" s="31"/>
    </row>
    <row r="127" spans="1:10" x14ac:dyDescent="0.25">
      <c r="A127" s="42" t="s">
        <v>6</v>
      </c>
      <c r="B127" s="35"/>
      <c r="D127" s="24"/>
      <c r="E127" s="25">
        <v>34753</v>
      </c>
      <c r="F127" s="79"/>
      <c r="G127" s="31"/>
    </row>
    <row r="128" spans="1:10" x14ac:dyDescent="0.25">
      <c r="A128" s="42" t="s">
        <v>206</v>
      </c>
      <c r="B128" s="35"/>
      <c r="D128" s="24"/>
      <c r="E128" s="25">
        <v>24906</v>
      </c>
      <c r="F128" s="79"/>
      <c r="G128" s="31"/>
    </row>
    <row r="129" spans="1:10" ht="15.75" thickBot="1" x14ac:dyDescent="0.3">
      <c r="A129" s="42" t="s">
        <v>205</v>
      </c>
      <c r="B129" s="35"/>
      <c r="D129" s="24"/>
      <c r="E129" s="131">
        <v>40000</v>
      </c>
      <c r="F129" s="79"/>
      <c r="G129" s="31"/>
    </row>
    <row r="130" spans="1:10" x14ac:dyDescent="0.25">
      <c r="B130" s="35"/>
      <c r="D130" s="24"/>
      <c r="E130" s="68" t="s">
        <v>162</v>
      </c>
      <c r="F130" s="78">
        <f>SUM(E126:E129)</f>
        <v>108159</v>
      </c>
      <c r="G130" s="31"/>
    </row>
    <row r="131" spans="1:10" x14ac:dyDescent="0.25">
      <c r="B131" s="35"/>
      <c r="D131" s="24"/>
      <c r="E131" s="25"/>
      <c r="F131" s="79"/>
      <c r="G131" s="31"/>
    </row>
    <row r="132" spans="1:10" x14ac:dyDescent="0.25">
      <c r="A132" s="157" t="s">
        <v>262</v>
      </c>
      <c r="B132" s="35"/>
      <c r="D132" s="24"/>
      <c r="E132" s="25"/>
      <c r="F132" s="79"/>
      <c r="G132" s="31"/>
    </row>
    <row r="133" spans="1:10" x14ac:dyDescent="0.25">
      <c r="A133" s="158" t="s">
        <v>208</v>
      </c>
      <c r="B133" s="35"/>
      <c r="D133" s="24"/>
      <c r="E133" s="25">
        <f>630*48</f>
        <v>30240</v>
      </c>
      <c r="F133" s="159" t="s">
        <v>211</v>
      </c>
      <c r="G133" s="31">
        <v>630</v>
      </c>
    </row>
    <row r="134" spans="1:10" x14ac:dyDescent="0.25">
      <c r="A134" t="s">
        <v>209</v>
      </c>
      <c r="B134" s="35"/>
      <c r="D134" s="24"/>
      <c r="E134" s="25">
        <f>550*48</f>
        <v>26400</v>
      </c>
      <c r="F134" s="159" t="s">
        <v>212</v>
      </c>
      <c r="G134" s="31">
        <v>550</v>
      </c>
      <c r="H134" s="145"/>
    </row>
    <row r="135" spans="1:10" x14ac:dyDescent="0.25">
      <c r="A135" t="s">
        <v>210</v>
      </c>
      <c r="B135" s="35"/>
      <c r="D135" s="24"/>
      <c r="E135" s="25">
        <f>192*48</f>
        <v>9216</v>
      </c>
      <c r="F135" s="79" t="s">
        <v>213</v>
      </c>
      <c r="G135" s="31">
        <v>192</v>
      </c>
    </row>
    <row r="136" spans="1:10" x14ac:dyDescent="0.25">
      <c r="A136" t="s">
        <v>11</v>
      </c>
      <c r="B136" s="35"/>
      <c r="D136" s="24"/>
      <c r="E136" s="25">
        <f>630*48</f>
        <v>30240</v>
      </c>
      <c r="F136" s="79"/>
      <c r="G136" s="31">
        <f>880-250</f>
        <v>630</v>
      </c>
      <c r="H136" s="145"/>
    </row>
    <row r="137" spans="1:10" x14ac:dyDescent="0.25">
      <c r="A137" t="s">
        <v>214</v>
      </c>
      <c r="B137" s="35"/>
      <c r="D137" s="24"/>
      <c r="E137" s="163">
        <f>0.1385*(E133+E134+E135+E136)</f>
        <v>13309.296</v>
      </c>
      <c r="F137" s="79"/>
      <c r="G137" s="31"/>
      <c r="H137" s="145"/>
      <c r="J137" s="3">
        <f>E137</f>
        <v>13309.296</v>
      </c>
    </row>
    <row r="138" spans="1:10" ht="15.75" thickBot="1" x14ac:dyDescent="0.3">
      <c r="A138" t="s">
        <v>215</v>
      </c>
      <c r="B138" s="35"/>
      <c r="D138" s="24"/>
      <c r="E138" s="25">
        <f>G138*12</f>
        <v>46350</v>
      </c>
      <c r="F138" s="79"/>
      <c r="G138" s="161">
        <v>3862.5</v>
      </c>
      <c r="H138" s="12"/>
    </row>
    <row r="139" spans="1:10" ht="15.75" thickBot="1" x14ac:dyDescent="0.3">
      <c r="A139" t="s">
        <v>216</v>
      </c>
      <c r="B139" s="35"/>
      <c r="D139" s="24"/>
      <c r="E139" s="130">
        <f>0.1385*E138</f>
        <v>6419.4750000000004</v>
      </c>
      <c r="F139" s="79"/>
      <c r="G139" s="162"/>
      <c r="H139" s="12"/>
      <c r="J139" s="3">
        <f>E139</f>
        <v>6419.4750000000004</v>
      </c>
    </row>
    <row r="140" spans="1:10" x14ac:dyDescent="0.25">
      <c r="D140" s="24"/>
      <c r="E140" s="69" t="s">
        <v>162</v>
      </c>
      <c r="F140" s="3">
        <f>SUM(E133:E138)</f>
        <v>155755.296</v>
      </c>
      <c r="G140" s="160">
        <f>SUM(G133:G138)</f>
        <v>5864.5</v>
      </c>
      <c r="H140" s="193" t="s">
        <v>263</v>
      </c>
    </row>
    <row r="141" spans="1:10" ht="18.75" x14ac:dyDescent="0.3">
      <c r="A141" s="175" t="s">
        <v>157</v>
      </c>
      <c r="B141" s="182"/>
      <c r="C141" s="178">
        <f>C124</f>
        <v>240553</v>
      </c>
      <c r="D141" s="183">
        <f>SUM(D113:D138)</f>
        <v>240553</v>
      </c>
      <c r="E141" s="191">
        <f>SUM(E113:E138)</f>
        <v>571871.29599999997</v>
      </c>
      <c r="F141" s="181">
        <f>SUM(F113:F140)</f>
        <v>571871.29599999997</v>
      </c>
      <c r="G141" s="160"/>
      <c r="H141" s="194" t="s">
        <v>264</v>
      </c>
      <c r="I141" s="3">
        <f>G140*12</f>
        <v>70374</v>
      </c>
    </row>
    <row r="142" spans="1:10" ht="18.75" x14ac:dyDescent="0.3">
      <c r="A142" s="175" t="s">
        <v>158</v>
      </c>
      <c r="B142" s="184"/>
      <c r="C142" s="185"/>
      <c r="D142" s="379">
        <f>D141+E141</f>
        <v>812424.29599999997</v>
      </c>
      <c r="E142" s="379"/>
      <c r="F142" s="177"/>
    </row>
    <row r="143" spans="1:10" s="57" customFormat="1" ht="15.75" x14ac:dyDescent="0.25">
      <c r="G143" s="58"/>
      <c r="H143" s="59"/>
      <c r="I143" s="58"/>
      <c r="J143" s="58"/>
    </row>
    <row r="144" spans="1:10" s="57" customFormat="1" ht="15.75" x14ac:dyDescent="0.25">
      <c r="G144" s="58"/>
      <c r="H144" s="59"/>
      <c r="I144" s="58"/>
      <c r="J144" s="58"/>
    </row>
    <row r="146" spans="1:10" x14ac:dyDescent="0.25">
      <c r="B146" s="21"/>
      <c r="D146" s="78"/>
      <c r="E146" s="79"/>
      <c r="F146" s="79"/>
      <c r="G146" s="22"/>
    </row>
    <row r="147" spans="1:10" ht="42" customHeight="1" x14ac:dyDescent="0.3">
      <c r="A147" s="174" t="s">
        <v>54</v>
      </c>
      <c r="B147" s="35"/>
      <c r="D147" s="375"/>
      <c r="E147" s="376"/>
      <c r="F147" s="79"/>
      <c r="G147" s="31"/>
    </row>
    <row r="148" spans="1:10" ht="0.95" customHeight="1" x14ac:dyDescent="0.25">
      <c r="A148" s="14"/>
      <c r="B148" s="35"/>
      <c r="D148" s="24"/>
      <c r="E148" s="38">
        <f>340000*4</f>
        <v>1360000</v>
      </c>
      <c r="F148" s="102"/>
      <c r="G148" s="33"/>
      <c r="H148" s="2" t="s">
        <v>42</v>
      </c>
      <c r="I148" s="3">
        <v>340000</v>
      </c>
    </row>
    <row r="149" spans="1:10" ht="30" x14ac:dyDescent="0.25">
      <c r="A149" t="s">
        <v>44</v>
      </c>
      <c r="B149" s="35"/>
      <c r="D149" s="24"/>
      <c r="E149" s="38">
        <v>1360000</v>
      </c>
      <c r="F149" s="102"/>
      <c r="G149" s="33"/>
      <c r="H149" s="2" t="s">
        <v>242</v>
      </c>
      <c r="I149" s="3">
        <v>340000</v>
      </c>
    </row>
    <row r="150" spans="1:10" x14ac:dyDescent="0.25">
      <c r="A150" t="s">
        <v>241</v>
      </c>
      <c r="B150" s="35"/>
      <c r="D150" s="24"/>
      <c r="E150" s="38" t="s">
        <v>159</v>
      </c>
      <c r="F150" s="102"/>
      <c r="G150" s="33"/>
      <c r="H150" s="2"/>
    </row>
    <row r="151" spans="1:10" x14ac:dyDescent="0.25">
      <c r="A151" t="s">
        <v>243</v>
      </c>
      <c r="B151" s="35"/>
      <c r="D151" s="24"/>
      <c r="E151" s="38" t="s">
        <v>159</v>
      </c>
      <c r="F151" s="102"/>
      <c r="G151" s="33"/>
      <c r="H151" s="2"/>
    </row>
    <row r="152" spans="1:10" s="9" customFormat="1" ht="60.75" hidden="1" x14ac:dyDescent="0.3">
      <c r="A152" s="15" t="s">
        <v>0</v>
      </c>
      <c r="B152" s="16"/>
      <c r="C152" s="108" t="s">
        <v>138</v>
      </c>
      <c r="D152" s="17" t="s">
        <v>77</v>
      </c>
      <c r="E152" s="17" t="s">
        <v>78</v>
      </c>
      <c r="F152" s="17" t="s">
        <v>139</v>
      </c>
      <c r="G152" s="17"/>
      <c r="H152" s="18" t="s">
        <v>38</v>
      </c>
      <c r="I152" s="92" t="s">
        <v>112</v>
      </c>
      <c r="J152" s="17" t="s">
        <v>140</v>
      </c>
    </row>
    <row r="153" spans="1:10" s="53" customFormat="1" ht="18.75" x14ac:dyDescent="0.3">
      <c r="A153" s="147" t="s">
        <v>81</v>
      </c>
      <c r="B153" s="182"/>
      <c r="C153" s="110"/>
      <c r="D153" s="183">
        <f>SUM(D149)</f>
        <v>0</v>
      </c>
      <c r="E153" s="183">
        <f>SUM(E149)</f>
        <v>1360000</v>
      </c>
      <c r="F153" s="70"/>
      <c r="G153" s="65"/>
      <c r="H153" s="66"/>
      <c r="I153" s="52"/>
      <c r="J153" s="52"/>
    </row>
    <row r="154" spans="1:10" x14ac:dyDescent="0.25">
      <c r="B154" s="21"/>
      <c r="D154" s="78"/>
      <c r="E154" s="79"/>
      <c r="F154" s="103"/>
      <c r="G154" s="31"/>
    </row>
    <row r="155" spans="1:10" x14ac:dyDescent="0.25">
      <c r="B155" s="21"/>
      <c r="D155" s="78"/>
      <c r="E155" s="79"/>
      <c r="F155" s="103"/>
      <c r="G155" s="31"/>
    </row>
    <row r="156" spans="1:10" ht="37.5" x14ac:dyDescent="0.3">
      <c r="A156" s="174" t="s">
        <v>254</v>
      </c>
      <c r="B156" s="35"/>
      <c r="D156" s="374"/>
      <c r="E156" s="374"/>
      <c r="F156" s="103"/>
      <c r="G156" s="31"/>
    </row>
    <row r="157" spans="1:10" s="21" customFormat="1" x14ac:dyDescent="0.25">
      <c r="A157" s="23" t="s">
        <v>45</v>
      </c>
      <c r="B157" s="35"/>
      <c r="C157" s="22"/>
      <c r="D157" s="39"/>
      <c r="E157" s="40">
        <v>1400000</v>
      </c>
      <c r="F157" s="103"/>
      <c r="G157" s="31"/>
      <c r="H157" s="22" t="s">
        <v>245</v>
      </c>
      <c r="I157" s="22">
        <v>350000</v>
      </c>
      <c r="J157" s="22"/>
    </row>
    <row r="158" spans="1:10" s="21" customFormat="1" x14ac:dyDescent="0.25">
      <c r="A158" s="23" t="s">
        <v>243</v>
      </c>
      <c r="B158" s="35"/>
      <c r="C158" s="22"/>
      <c r="D158" s="195"/>
      <c r="E158" s="196" t="s">
        <v>159</v>
      </c>
      <c r="F158" s="103"/>
      <c r="G158" s="31"/>
      <c r="H158" s="22"/>
      <c r="I158" s="22"/>
      <c r="J158" s="22"/>
    </row>
    <row r="159" spans="1:10" s="57" customFormat="1" ht="18.75" x14ac:dyDescent="0.3">
      <c r="A159" s="199" t="s">
        <v>82</v>
      </c>
      <c r="B159" s="182"/>
      <c r="C159" s="110"/>
      <c r="D159" s="181">
        <f>SUM(D157)</f>
        <v>0</v>
      </c>
      <c r="E159" s="181">
        <f t="shared" ref="E159" si="0">SUM(E157)</f>
        <v>1400000</v>
      </c>
      <c r="F159" s="70"/>
      <c r="G159" s="51"/>
      <c r="H159" s="58"/>
      <c r="I159" s="58"/>
      <c r="J159" s="58"/>
    </row>
    <row r="160" spans="1:10" x14ac:dyDescent="0.25">
      <c r="B160" s="21"/>
      <c r="D160" s="78"/>
      <c r="E160" s="79"/>
      <c r="F160" s="103"/>
      <c r="G160" s="31"/>
    </row>
    <row r="161" spans="1:12" x14ac:dyDescent="0.25">
      <c r="B161" s="21"/>
      <c r="D161" s="78"/>
      <c r="E161" s="79"/>
      <c r="F161" s="103"/>
      <c r="G161" s="31"/>
    </row>
    <row r="162" spans="1:12" ht="18.75" x14ac:dyDescent="0.3">
      <c r="A162" s="192" t="s">
        <v>56</v>
      </c>
      <c r="B162" s="35"/>
      <c r="D162" s="377"/>
      <c r="E162" s="378"/>
      <c r="F162" s="103"/>
      <c r="G162" s="31"/>
    </row>
    <row r="163" spans="1:12" x14ac:dyDescent="0.25">
      <c r="A163" t="s">
        <v>41</v>
      </c>
      <c r="B163" s="35"/>
      <c r="D163" s="68"/>
      <c r="E163" s="69">
        <v>1300000</v>
      </c>
      <c r="F163" s="103"/>
      <c r="G163" s="31"/>
    </row>
    <row r="164" spans="1:12" x14ac:dyDescent="0.25">
      <c r="A164" t="s">
        <v>45</v>
      </c>
      <c r="B164" s="35"/>
      <c r="D164" s="24"/>
      <c r="E164" s="95" t="s">
        <v>159</v>
      </c>
      <c r="F164" s="197"/>
      <c r="G164" s="31"/>
      <c r="H164" s="97" t="s">
        <v>159</v>
      </c>
      <c r="I164" s="96">
        <v>0</v>
      </c>
    </row>
    <row r="165" spans="1:12" s="53" customFormat="1" ht="18.75" x14ac:dyDescent="0.3">
      <c r="A165" s="147" t="s">
        <v>83</v>
      </c>
      <c r="B165" s="182"/>
      <c r="C165" s="110"/>
      <c r="D165" s="181">
        <f>SUM(D163:D164)</f>
        <v>0</v>
      </c>
      <c r="E165" s="181">
        <f t="shared" ref="E165" si="1">SUM(E163:E164)</f>
        <v>1300000</v>
      </c>
      <c r="F165" s="70"/>
      <c r="G165" s="51"/>
      <c r="H165" s="66"/>
      <c r="I165" s="52"/>
      <c r="J165" s="52"/>
    </row>
    <row r="166" spans="1:12" s="9" customFormat="1" ht="61.5" x14ac:dyDescent="0.35">
      <c r="A166" s="164" t="s">
        <v>30</v>
      </c>
      <c r="B166" s="16"/>
      <c r="C166" s="108" t="s">
        <v>138</v>
      </c>
      <c r="D166" s="17" t="s">
        <v>77</v>
      </c>
      <c r="E166" s="17" t="s">
        <v>78</v>
      </c>
      <c r="F166" s="17" t="s">
        <v>139</v>
      </c>
      <c r="G166" s="17"/>
      <c r="H166" s="18" t="s">
        <v>38</v>
      </c>
      <c r="I166" s="92" t="s">
        <v>112</v>
      </c>
      <c r="J166" s="17" t="s">
        <v>228</v>
      </c>
    </row>
    <row r="167" spans="1:12" ht="37.5" x14ac:dyDescent="0.3">
      <c r="A167" s="174" t="s">
        <v>257</v>
      </c>
      <c r="B167" s="35"/>
      <c r="D167" s="375"/>
      <c r="E167" s="376"/>
      <c r="F167" s="103"/>
      <c r="G167" s="31"/>
    </row>
    <row r="168" spans="1:12" x14ac:dyDescent="0.25">
      <c r="A168" s="14"/>
      <c r="B168" s="35"/>
      <c r="D168" s="24"/>
      <c r="E168" s="25"/>
      <c r="F168" s="103"/>
      <c r="G168" s="31"/>
    </row>
    <row r="169" spans="1:12" ht="18.75" customHeight="1" x14ac:dyDescent="0.25">
      <c r="A169" t="s">
        <v>45</v>
      </c>
      <c r="B169" s="35"/>
      <c r="D169" s="24" t="s">
        <v>50</v>
      </c>
      <c r="E169" s="38">
        <f>4*260000</f>
        <v>1040000</v>
      </c>
      <c r="F169" s="198"/>
      <c r="G169" s="33"/>
      <c r="H169" s="3" t="s">
        <v>244</v>
      </c>
      <c r="I169" s="3">
        <v>260000</v>
      </c>
    </row>
    <row r="170" spans="1:12" x14ac:dyDescent="0.25">
      <c r="A170" t="s">
        <v>243</v>
      </c>
      <c r="B170" s="35"/>
      <c r="D170" s="24"/>
      <c r="E170" s="200" t="s">
        <v>159</v>
      </c>
      <c r="F170" s="198"/>
      <c r="G170" s="33"/>
      <c r="H170" s="2"/>
    </row>
    <row r="171" spans="1:12" s="53" customFormat="1" ht="18.75" x14ac:dyDescent="0.3">
      <c r="A171" s="147" t="s">
        <v>84</v>
      </c>
      <c r="B171" s="182"/>
      <c r="C171" s="110"/>
      <c r="D171" s="181">
        <f>SUM(D169)</f>
        <v>0</v>
      </c>
      <c r="E171" s="181">
        <f t="shared" ref="E171" si="2">SUM(E169)</f>
        <v>1040000</v>
      </c>
      <c r="F171" s="70"/>
      <c r="G171" s="51"/>
      <c r="H171" s="52"/>
      <c r="I171" s="52"/>
      <c r="J171" s="52"/>
    </row>
    <row r="172" spans="1:12" s="9" customFormat="1" x14ac:dyDescent="0.25">
      <c r="B172" s="36"/>
      <c r="C172" s="109"/>
      <c r="D172" s="10"/>
      <c r="E172" s="11"/>
      <c r="F172" s="11"/>
      <c r="G172" s="20"/>
      <c r="H172" s="11"/>
      <c r="I172" s="11"/>
      <c r="J172" s="11"/>
    </row>
    <row r="173" spans="1:12" s="9" customFormat="1" x14ac:dyDescent="0.25">
      <c r="B173" s="36"/>
      <c r="C173" s="109"/>
      <c r="D173" s="10"/>
      <c r="E173" s="11"/>
      <c r="F173" s="11"/>
      <c r="G173" s="20"/>
      <c r="H173" s="11"/>
      <c r="I173" s="11"/>
      <c r="J173" s="11"/>
    </row>
    <row r="174" spans="1:12" s="27" customFormat="1" ht="19.5" thickBot="1" x14ac:dyDescent="0.35">
      <c r="A174" s="147" t="s">
        <v>199</v>
      </c>
      <c r="B174" s="37"/>
      <c r="C174" s="110"/>
      <c r="D174" s="148">
        <f>D46+D87+D141+D153+D159+D165+D171</f>
        <v>13606530</v>
      </c>
      <c r="E174" s="148">
        <f>E46+E87+E141+E153+E159+E165+E171</f>
        <v>15514221.396000002</v>
      </c>
      <c r="F174" s="28"/>
      <c r="G174" s="34"/>
      <c r="H174" s="29"/>
      <c r="I174" s="178">
        <f>SUM(I4:I172)</f>
        <v>1860374</v>
      </c>
      <c r="J174" s="178">
        <f>SUM(J4:J172)</f>
        <v>2543432.7710000002</v>
      </c>
    </row>
    <row r="175" spans="1:12" ht="15" customHeight="1" x14ac:dyDescent="0.25">
      <c r="B175" s="35"/>
      <c r="G175" s="31"/>
      <c r="H175" s="359" t="s">
        <v>258</v>
      </c>
      <c r="I175" s="363"/>
      <c r="J175" s="363"/>
      <c r="K175" s="361"/>
    </row>
    <row r="176" spans="1:12" ht="37.5" customHeight="1" thickBot="1" x14ac:dyDescent="0.35">
      <c r="A176" s="86" t="s">
        <v>88</v>
      </c>
      <c r="B176" s="35"/>
      <c r="E176" s="85">
        <f>SUM(D174:E174)</f>
        <v>29120751.396000002</v>
      </c>
      <c r="F176" s="30"/>
      <c r="G176" s="31"/>
      <c r="H176" s="362"/>
      <c r="I176" s="363"/>
      <c r="J176" s="363"/>
      <c r="K176" s="364"/>
      <c r="L176" s="127"/>
    </row>
    <row r="177" spans="1:12" ht="15" customHeight="1" thickTop="1" x14ac:dyDescent="0.25">
      <c r="H177" s="362"/>
      <c r="I177" s="363"/>
      <c r="J177" s="363"/>
      <c r="K177" s="364"/>
      <c r="L177" s="127"/>
    </row>
    <row r="178" spans="1:12" ht="15" customHeight="1" x14ac:dyDescent="0.25">
      <c r="H178" s="362"/>
      <c r="I178" s="363"/>
      <c r="J178" s="363"/>
      <c r="K178" s="364"/>
      <c r="L178" s="127"/>
    </row>
    <row r="179" spans="1:12" ht="15" customHeight="1" thickBot="1" x14ac:dyDescent="0.3">
      <c r="H179" s="365"/>
      <c r="I179" s="366"/>
      <c r="J179" s="366"/>
      <c r="K179" s="367"/>
      <c r="L179" s="127"/>
    </row>
    <row r="180" spans="1:12" ht="15.75" x14ac:dyDescent="0.25">
      <c r="A180" s="48"/>
      <c r="B180" s="143"/>
      <c r="C180" s="134"/>
      <c r="D180" s="135"/>
      <c r="H180" s="156"/>
      <c r="I180" s="156"/>
      <c r="J180" s="156"/>
      <c r="K180" s="156"/>
      <c r="L180" s="127"/>
    </row>
    <row r="181" spans="1:12" ht="18.75" x14ac:dyDescent="0.3">
      <c r="A181" s="152" t="s">
        <v>76</v>
      </c>
      <c r="B181" s="30" t="s">
        <v>174</v>
      </c>
      <c r="C181" s="153" t="s">
        <v>175</v>
      </c>
      <c r="D181" s="154" t="s">
        <v>176</v>
      </c>
      <c r="F181" s="29"/>
      <c r="H181" s="156"/>
      <c r="I181" s="156"/>
      <c r="J181" s="156"/>
      <c r="K181" s="156"/>
      <c r="L181" s="127"/>
    </row>
    <row r="182" spans="1:12" s="139" customFormat="1" ht="18.75" x14ac:dyDescent="0.3">
      <c r="A182" s="53" t="s">
        <v>173</v>
      </c>
      <c r="B182" s="137">
        <v>161578</v>
      </c>
      <c r="C182" s="136">
        <v>161578</v>
      </c>
      <c r="D182" s="2">
        <f>B182-C182</f>
        <v>0</v>
      </c>
      <c r="E182" s="3"/>
      <c r="F182" s="29"/>
      <c r="G182" s="137"/>
      <c r="H182" s="156"/>
      <c r="I182" s="156"/>
      <c r="J182" s="156"/>
      <c r="K182" s="156"/>
      <c r="L182" s="138"/>
    </row>
    <row r="183" spans="1:12" s="139" customFormat="1" ht="18.75" x14ac:dyDescent="0.3">
      <c r="A183" s="53" t="s">
        <v>180</v>
      </c>
      <c r="B183" s="137">
        <f>13011+10282+27042+14177</f>
        <v>64512</v>
      </c>
      <c r="C183" s="136">
        <v>64512</v>
      </c>
      <c r="D183" s="2">
        <f t="shared" ref="D183:D208" si="3">B183-C183</f>
        <v>0</v>
      </c>
      <c r="E183" s="141"/>
      <c r="F183" s="29"/>
      <c r="G183" s="137"/>
      <c r="H183" s="156"/>
      <c r="I183" s="156"/>
      <c r="J183" s="156"/>
      <c r="K183" s="156"/>
      <c r="L183" s="138"/>
    </row>
    <row r="184" spans="1:12" s="139" customFormat="1" ht="18.75" x14ac:dyDescent="0.3">
      <c r="A184" s="142" t="s">
        <v>177</v>
      </c>
      <c r="B184" s="137"/>
      <c r="C184" s="136"/>
      <c r="D184" s="2">
        <f t="shared" si="3"/>
        <v>0</v>
      </c>
      <c r="E184" s="137"/>
      <c r="F184" s="29"/>
      <c r="G184" s="137"/>
      <c r="H184" s="156"/>
      <c r="I184" s="156"/>
      <c r="J184" s="156"/>
      <c r="K184" s="156"/>
      <c r="L184" s="138"/>
    </row>
    <row r="185" spans="1:12" s="139" customFormat="1" ht="18.75" x14ac:dyDescent="0.3">
      <c r="A185" s="142" t="s">
        <v>178</v>
      </c>
      <c r="B185" s="137"/>
      <c r="C185" s="136"/>
      <c r="D185" s="2">
        <f t="shared" si="3"/>
        <v>0</v>
      </c>
      <c r="E185" s="137"/>
      <c r="F185" s="29"/>
      <c r="G185" s="137"/>
      <c r="H185" s="156"/>
      <c r="I185" s="156"/>
      <c r="J185" s="156"/>
      <c r="K185" s="156"/>
      <c r="L185" s="138"/>
    </row>
    <row r="186" spans="1:12" s="139" customFormat="1" ht="18.75" x14ac:dyDescent="0.3">
      <c r="A186" s="142" t="s">
        <v>179</v>
      </c>
      <c r="B186" s="137"/>
      <c r="C186" s="136"/>
      <c r="D186" s="2">
        <f t="shared" si="3"/>
        <v>0</v>
      </c>
      <c r="E186" s="137"/>
      <c r="F186" s="29"/>
      <c r="G186" s="137"/>
      <c r="H186" s="140"/>
      <c r="I186" s="140"/>
      <c r="J186" s="140"/>
      <c r="K186" s="140"/>
      <c r="L186" s="138"/>
    </row>
    <row r="187" spans="1:12" ht="18.75" x14ac:dyDescent="0.3">
      <c r="A187" s="53" t="s">
        <v>181</v>
      </c>
      <c r="B187" s="137"/>
      <c r="C187" s="136"/>
      <c r="D187" s="2">
        <f t="shared" si="3"/>
        <v>0</v>
      </c>
      <c r="E187" s="137"/>
      <c r="F187" s="29"/>
    </row>
    <row r="188" spans="1:12" ht="18.75" x14ac:dyDescent="0.3">
      <c r="A188" s="142" t="s">
        <v>182</v>
      </c>
      <c r="B188" s="137">
        <v>25000</v>
      </c>
      <c r="C188" s="136">
        <v>15694</v>
      </c>
      <c r="D188" s="2">
        <f t="shared" si="3"/>
        <v>9306</v>
      </c>
      <c r="E188" s="137"/>
      <c r="F188" s="29"/>
    </row>
    <row r="189" spans="1:12" ht="18.75" x14ac:dyDescent="0.3">
      <c r="A189" s="142" t="s">
        <v>183</v>
      </c>
      <c r="B189" s="137">
        <v>15000</v>
      </c>
      <c r="C189" s="136">
        <v>8938</v>
      </c>
      <c r="D189" s="2">
        <f t="shared" si="3"/>
        <v>6062</v>
      </c>
      <c r="E189" s="137"/>
      <c r="F189" s="29"/>
    </row>
    <row r="190" spans="1:12" ht="18.75" x14ac:dyDescent="0.3">
      <c r="A190" s="53" t="s">
        <v>184</v>
      </c>
      <c r="B190" s="137"/>
      <c r="C190" s="136"/>
      <c r="D190" s="2">
        <f t="shared" si="3"/>
        <v>0</v>
      </c>
      <c r="E190" s="137"/>
      <c r="F190" s="29"/>
    </row>
    <row r="191" spans="1:12" ht="18.75" x14ac:dyDescent="0.3">
      <c r="A191" s="142" t="s">
        <v>185</v>
      </c>
      <c r="B191" s="137">
        <f>6587* 48</f>
        <v>316176</v>
      </c>
      <c r="C191" s="136">
        <v>13104</v>
      </c>
      <c r="D191" s="2">
        <f t="shared" si="3"/>
        <v>303072</v>
      </c>
      <c r="E191" s="141" t="s">
        <v>246</v>
      </c>
      <c r="F191" s="29">
        <f>6587*12</f>
        <v>79044</v>
      </c>
      <c r="G191" s="204" t="s">
        <v>265</v>
      </c>
    </row>
    <row r="192" spans="1:12" ht="19.5" thickBot="1" x14ac:dyDescent="0.35">
      <c r="A192" s="142" t="s">
        <v>186</v>
      </c>
      <c r="B192" s="137">
        <f>5207*36</f>
        <v>187452</v>
      </c>
      <c r="C192" s="136">
        <f>2986+2221+5207</f>
        <v>10414</v>
      </c>
      <c r="D192" s="2">
        <f t="shared" ref="D192" si="4">B192-C192</f>
        <v>177038</v>
      </c>
      <c r="E192" s="137" t="s">
        <v>247</v>
      </c>
      <c r="F192" s="202">
        <f>5207*12</f>
        <v>62484</v>
      </c>
      <c r="G192" s="204" t="s">
        <v>265</v>
      </c>
    </row>
    <row r="193" spans="1:6" ht="18.75" x14ac:dyDescent="0.3">
      <c r="A193" s="142"/>
      <c r="B193" s="137"/>
      <c r="C193" s="136"/>
      <c r="E193" s="137"/>
      <c r="F193" s="29">
        <f>SUM(F191:F192)</f>
        <v>141528</v>
      </c>
    </row>
    <row r="194" spans="1:6" ht="32.25" x14ac:dyDescent="0.3">
      <c r="A194" s="201" t="s">
        <v>248</v>
      </c>
      <c r="B194" s="137">
        <f>(27330+5220+1220+4490+6290)*4</f>
        <v>178200</v>
      </c>
      <c r="C194" s="136"/>
      <c r="E194" s="141"/>
      <c r="F194" s="29"/>
    </row>
    <row r="195" spans="1:6" ht="18.75" x14ac:dyDescent="0.3">
      <c r="A195" s="142" t="s">
        <v>187</v>
      </c>
      <c r="B195" s="137">
        <v>12000</v>
      </c>
      <c r="C195" s="136">
        <v>1009</v>
      </c>
      <c r="D195" s="2">
        <f t="shared" si="3"/>
        <v>10991</v>
      </c>
      <c r="F195" s="29"/>
    </row>
    <row r="196" spans="1:6" ht="18.75" x14ac:dyDescent="0.3">
      <c r="A196" s="142" t="s">
        <v>188</v>
      </c>
      <c r="B196" s="137">
        <v>50000</v>
      </c>
      <c r="C196" s="136">
        <v>3919</v>
      </c>
      <c r="D196" s="2">
        <f t="shared" si="3"/>
        <v>46081</v>
      </c>
      <c r="F196" s="29"/>
    </row>
    <row r="197" spans="1:6" ht="18.75" x14ac:dyDescent="0.3">
      <c r="A197" s="142" t="s">
        <v>194</v>
      </c>
      <c r="B197" s="137">
        <v>5000</v>
      </c>
      <c r="C197" s="136">
        <v>417</v>
      </c>
      <c r="D197" s="2">
        <f t="shared" si="3"/>
        <v>4583</v>
      </c>
      <c r="F197" s="29"/>
    </row>
    <row r="198" spans="1:6" ht="18.75" x14ac:dyDescent="0.3">
      <c r="A198" s="144" t="s">
        <v>189</v>
      </c>
      <c r="B198" s="137"/>
      <c r="C198" s="136"/>
      <c r="F198" s="29"/>
    </row>
    <row r="199" spans="1:6" ht="18.75" x14ac:dyDescent="0.3">
      <c r="A199" s="142" t="s">
        <v>190</v>
      </c>
      <c r="B199" s="137">
        <v>2000</v>
      </c>
      <c r="C199" s="136">
        <f>40+138+138+66+77+46+25+50</f>
        <v>580</v>
      </c>
      <c r="D199" s="2">
        <f t="shared" si="3"/>
        <v>1420</v>
      </c>
      <c r="F199" s="29"/>
    </row>
    <row r="200" spans="1:6" ht="18.75" x14ac:dyDescent="0.3">
      <c r="A200" s="142" t="s">
        <v>191</v>
      </c>
      <c r="B200" s="137">
        <v>3000</v>
      </c>
      <c r="C200" s="136">
        <f>257+800+1052</f>
        <v>2109</v>
      </c>
      <c r="D200" s="2">
        <f t="shared" si="3"/>
        <v>891</v>
      </c>
      <c r="F200" s="29"/>
    </row>
    <row r="201" spans="1:6" ht="18.75" x14ac:dyDescent="0.3">
      <c r="A201" s="142" t="s">
        <v>192</v>
      </c>
      <c r="B201" s="137">
        <v>6000</v>
      </c>
      <c r="C201" s="136">
        <f>1214+1348+199</f>
        <v>2761</v>
      </c>
      <c r="D201" s="2">
        <f t="shared" si="3"/>
        <v>3239</v>
      </c>
      <c r="F201" s="29"/>
    </row>
    <row r="202" spans="1:6" ht="18.75" x14ac:dyDescent="0.3">
      <c r="A202" s="142" t="s">
        <v>193</v>
      </c>
      <c r="B202" s="137">
        <v>6500</v>
      </c>
      <c r="C202" s="136">
        <v>1679</v>
      </c>
      <c r="D202" s="2">
        <f t="shared" si="3"/>
        <v>4821</v>
      </c>
      <c r="E202" s="3" t="s">
        <v>197</v>
      </c>
      <c r="F202" s="29"/>
    </row>
    <row r="203" spans="1:6" ht="18.75" x14ac:dyDescent="0.3">
      <c r="A203" s="144" t="s">
        <v>195</v>
      </c>
      <c r="B203" s="137"/>
      <c r="C203" s="136"/>
      <c r="F203" s="29"/>
    </row>
    <row r="204" spans="1:6" ht="18.75" x14ac:dyDescent="0.3">
      <c r="A204" s="142" t="s">
        <v>196</v>
      </c>
      <c r="B204" s="137">
        <v>1800</v>
      </c>
      <c r="C204" s="136">
        <v>425</v>
      </c>
      <c r="D204" s="2">
        <f t="shared" si="3"/>
        <v>1375</v>
      </c>
      <c r="F204" s="29"/>
    </row>
    <row r="205" spans="1:6" ht="18.75" x14ac:dyDescent="0.3">
      <c r="A205" s="144" t="s">
        <v>198</v>
      </c>
      <c r="B205" s="137"/>
      <c r="C205" s="136"/>
      <c r="F205" s="29"/>
    </row>
    <row r="206" spans="1:6" ht="18.75" x14ac:dyDescent="0.3">
      <c r="A206" s="142" t="s">
        <v>71</v>
      </c>
      <c r="B206" s="137">
        <v>600</v>
      </c>
      <c r="C206" s="136">
        <v>600</v>
      </c>
      <c r="D206" s="2">
        <f t="shared" si="3"/>
        <v>0</v>
      </c>
      <c r="F206" s="29"/>
    </row>
    <row r="207" spans="1:6" ht="19.5" thickBot="1" x14ac:dyDescent="0.35">
      <c r="A207" s="142" t="s">
        <v>68</v>
      </c>
      <c r="B207" s="146">
        <v>126</v>
      </c>
      <c r="C207" s="155">
        <v>126</v>
      </c>
      <c r="D207" s="118">
        <f t="shared" si="3"/>
        <v>0</v>
      </c>
      <c r="F207" s="29"/>
    </row>
    <row r="208" spans="1:6" ht="18.75" x14ac:dyDescent="0.3">
      <c r="A208" s="147" t="s">
        <v>200</v>
      </c>
      <c r="B208" s="150">
        <f>SUM(B182:B207)</f>
        <v>1034944</v>
      </c>
      <c r="C208" s="150">
        <f>SUM(C182:C207)</f>
        <v>287865</v>
      </c>
      <c r="D208" s="148">
        <f t="shared" si="3"/>
        <v>747079</v>
      </c>
      <c r="F208" s="29"/>
    </row>
    <row r="209" spans="1:6" ht="18.75" x14ac:dyDescent="0.3">
      <c r="D209" s="28"/>
      <c r="E209" s="29"/>
      <c r="F209" s="29"/>
    </row>
    <row r="210" spans="1:6" ht="24" thickBot="1" x14ac:dyDescent="0.4">
      <c r="A210" s="370" t="s">
        <v>87</v>
      </c>
      <c r="B210" s="370"/>
      <c r="C210" s="370"/>
      <c r="D210" s="370"/>
      <c r="E210" s="151">
        <f>E176+B208</f>
        <v>30155695.396000002</v>
      </c>
      <c r="F210" s="149"/>
    </row>
    <row r="211" spans="1:6" ht="19.5" thickTop="1" x14ac:dyDescent="0.3">
      <c r="D211" s="205">
        <f>D174/E210</f>
        <v>0.45120929301483914</v>
      </c>
      <c r="E211" s="205">
        <f>(E174+B208)/E210</f>
        <v>0.54879070698516086</v>
      </c>
      <c r="F211" s="107"/>
    </row>
    <row r="212" spans="1:6" ht="37.5" x14ac:dyDescent="0.3">
      <c r="D212" s="206" t="s">
        <v>255</v>
      </c>
      <c r="E212" s="206" t="s">
        <v>256</v>
      </c>
    </row>
    <row r="213" spans="1:6" ht="15.75" x14ac:dyDescent="0.25">
      <c r="D213" s="66"/>
      <c r="E213" s="66"/>
    </row>
    <row r="214" spans="1:6" ht="18.75" x14ac:dyDescent="0.3">
      <c r="A214" s="90" t="s">
        <v>110</v>
      </c>
      <c r="B214" s="3"/>
      <c r="C214" s="3"/>
      <c r="D214" s="3"/>
      <c r="E214"/>
    </row>
    <row r="215" spans="1:6" hidden="1" x14ac:dyDescent="0.25">
      <c r="B215" s="3"/>
      <c r="C215" s="3" t="s">
        <v>104</v>
      </c>
      <c r="D215" s="3" t="s">
        <v>105</v>
      </c>
      <c r="E215"/>
    </row>
    <row r="216" spans="1:6" hidden="1" x14ac:dyDescent="0.25">
      <c r="B216" s="3"/>
      <c r="C216" s="89">
        <v>0.75</v>
      </c>
      <c r="D216" s="89">
        <v>0.25</v>
      </c>
      <c r="E216"/>
    </row>
    <row r="217" spans="1:6" hidden="1" x14ac:dyDescent="0.25">
      <c r="A217" s="88" t="s">
        <v>96</v>
      </c>
      <c r="B217" s="3" t="s">
        <v>92</v>
      </c>
      <c r="C217" s="3" t="s">
        <v>107</v>
      </c>
      <c r="D217" s="3" t="s">
        <v>106</v>
      </c>
      <c r="E217"/>
    </row>
    <row r="218" spans="1:6" hidden="1" x14ac:dyDescent="0.25">
      <c r="A218" t="s">
        <v>89</v>
      </c>
      <c r="B218" s="3">
        <v>1606571</v>
      </c>
      <c r="C218" s="3">
        <v>1204929</v>
      </c>
      <c r="D218" s="3">
        <v>401643</v>
      </c>
      <c r="E218"/>
    </row>
    <row r="219" spans="1:6" hidden="1" x14ac:dyDescent="0.25">
      <c r="A219" t="s">
        <v>90</v>
      </c>
      <c r="B219" s="3">
        <v>8555373</v>
      </c>
      <c r="C219" s="3">
        <v>6416529</v>
      </c>
      <c r="D219" s="3">
        <v>2138843</v>
      </c>
      <c r="E219"/>
    </row>
    <row r="220" spans="1:6" hidden="1" x14ac:dyDescent="0.25">
      <c r="A220" t="s">
        <v>91</v>
      </c>
      <c r="B220" s="3">
        <f>18809146-B219-B218</f>
        <v>8647202</v>
      </c>
      <c r="C220" s="3">
        <f>14106859-C219-C218</f>
        <v>6485401</v>
      </c>
      <c r="D220" s="3">
        <f>4702286-D218-D219</f>
        <v>2161800</v>
      </c>
      <c r="E220"/>
    </row>
    <row r="221" spans="1:6" hidden="1" x14ac:dyDescent="0.25">
      <c r="A221" t="s">
        <v>93</v>
      </c>
      <c r="B221" s="3"/>
      <c r="C221" s="3"/>
      <c r="D221" s="3"/>
      <c r="E221"/>
    </row>
    <row r="222" spans="1:6" hidden="1" x14ac:dyDescent="0.25">
      <c r="A222" t="s">
        <v>94</v>
      </c>
      <c r="B222" s="3"/>
      <c r="C222" s="3"/>
      <c r="D222" s="3"/>
      <c r="E222"/>
    </row>
    <row r="223" spans="1:6" hidden="1" x14ac:dyDescent="0.25">
      <c r="A223" t="s">
        <v>95</v>
      </c>
      <c r="B223" s="3"/>
      <c r="C223" s="3"/>
      <c r="D223" s="3"/>
      <c r="E223"/>
    </row>
    <row r="224" spans="1:6" hidden="1" x14ac:dyDescent="0.25">
      <c r="B224" s="3">
        <f>SUM(B218:B223)</f>
        <v>18809146</v>
      </c>
      <c r="C224" s="3"/>
      <c r="D224" s="3"/>
      <c r="E224"/>
    </row>
    <row r="225" spans="1:8" hidden="1" x14ac:dyDescent="0.25">
      <c r="A225" s="88" t="s">
        <v>98</v>
      </c>
      <c r="B225" s="3"/>
      <c r="C225" s="3"/>
      <c r="D225" s="3"/>
      <c r="E225"/>
    </row>
    <row r="226" spans="1:8" hidden="1" x14ac:dyDescent="0.25">
      <c r="A226" t="s">
        <v>99</v>
      </c>
      <c r="B226" s="3">
        <v>52500</v>
      </c>
      <c r="C226" s="3"/>
      <c r="D226" s="3"/>
      <c r="E226"/>
    </row>
    <row r="227" spans="1:8" hidden="1" x14ac:dyDescent="0.25">
      <c r="A227" t="s">
        <v>100</v>
      </c>
      <c r="B227" s="3">
        <v>150000</v>
      </c>
      <c r="C227" s="3"/>
      <c r="D227" s="3"/>
      <c r="E227"/>
    </row>
    <row r="228" spans="1:8" hidden="1" x14ac:dyDescent="0.25">
      <c r="A228" t="s">
        <v>101</v>
      </c>
      <c r="B228" s="3">
        <v>150000</v>
      </c>
      <c r="C228" s="3"/>
      <c r="D228" s="3"/>
      <c r="E228"/>
    </row>
    <row r="229" spans="1:8" hidden="1" x14ac:dyDescent="0.25">
      <c r="A229" t="s">
        <v>102</v>
      </c>
      <c r="B229" s="3">
        <v>112500</v>
      </c>
      <c r="C229" s="3"/>
      <c r="D229" s="3"/>
      <c r="E229"/>
    </row>
    <row r="230" spans="1:8" hidden="1" x14ac:dyDescent="0.25">
      <c r="A230" t="s">
        <v>103</v>
      </c>
      <c r="B230" s="3">
        <v>75000</v>
      </c>
      <c r="C230" s="3"/>
      <c r="D230" s="3"/>
      <c r="E230"/>
    </row>
    <row r="231" spans="1:8" hidden="1" x14ac:dyDescent="0.25">
      <c r="B231" s="3">
        <f>SUM(B226:B230)</f>
        <v>540000</v>
      </c>
      <c r="C231" s="3"/>
      <c r="D231" s="3"/>
      <c r="E231"/>
    </row>
    <row r="232" spans="1:8" hidden="1" x14ac:dyDescent="0.25">
      <c r="B232" s="3"/>
      <c r="C232" s="3"/>
      <c r="D232" s="3"/>
      <c r="E232"/>
    </row>
    <row r="233" spans="1:8" hidden="1" x14ac:dyDescent="0.25">
      <c r="B233" s="3"/>
      <c r="C233" s="3"/>
      <c r="D233" s="3"/>
      <c r="E233"/>
    </row>
    <row r="234" spans="1:8" hidden="1" x14ac:dyDescent="0.25">
      <c r="A234" t="s">
        <v>97</v>
      </c>
      <c r="B234" s="3">
        <v>500000</v>
      </c>
      <c r="C234" s="3"/>
      <c r="D234" s="3"/>
      <c r="E234"/>
      <c r="H234" s="3">
        <f>SUM(B246:G246)</f>
        <v>39934146</v>
      </c>
    </row>
    <row r="235" spans="1:8" hidden="1" x14ac:dyDescent="0.25">
      <c r="B235" s="3"/>
      <c r="C235" s="3"/>
      <c r="D235" s="3"/>
      <c r="E235"/>
      <c r="H235" s="3">
        <f>SUM(B247:G247)</f>
        <v>777735</v>
      </c>
    </row>
    <row r="236" spans="1:8" hidden="1" x14ac:dyDescent="0.25">
      <c r="A236" s="88" t="s">
        <v>109</v>
      </c>
      <c r="B236" s="3"/>
      <c r="C236" s="3"/>
      <c r="D236" s="3"/>
      <c r="E236"/>
      <c r="H236" s="79" t="e">
        <f>SUM(#REF!)</f>
        <v>#REF!</v>
      </c>
    </row>
    <row r="237" spans="1:8" hidden="1" x14ac:dyDescent="0.25">
      <c r="A237" t="s">
        <v>99</v>
      </c>
      <c r="B237" s="3">
        <v>6052500</v>
      </c>
      <c r="C237" s="3"/>
      <c r="D237" s="3"/>
      <c r="E237"/>
      <c r="H237" s="79">
        <f>SUM(B252:G252)</f>
        <v>345808</v>
      </c>
    </row>
    <row r="238" spans="1:8" ht="18.75" hidden="1" x14ac:dyDescent="0.3">
      <c r="A238" t="s">
        <v>100</v>
      </c>
      <c r="B238" s="3">
        <v>6525000</v>
      </c>
      <c r="C238" s="3"/>
      <c r="D238" s="3"/>
      <c r="E238"/>
      <c r="H238" s="119"/>
    </row>
    <row r="239" spans="1:8" ht="18.75" hidden="1" x14ac:dyDescent="0.3">
      <c r="A239" t="s">
        <v>101</v>
      </c>
      <c r="B239" s="3">
        <v>5900000</v>
      </c>
      <c r="C239" s="3"/>
      <c r="D239" s="3"/>
      <c r="E239"/>
      <c r="H239" s="29" t="s">
        <v>108</v>
      </c>
    </row>
    <row r="240" spans="1:8" ht="18.75" hidden="1" x14ac:dyDescent="0.3">
      <c r="A240" t="s">
        <v>102</v>
      </c>
      <c r="B240" s="3">
        <v>5550000</v>
      </c>
      <c r="C240" s="3"/>
      <c r="D240" s="3"/>
      <c r="E240"/>
      <c r="H240" s="29" t="e">
        <f>SUM(H234:H239)</f>
        <v>#REF!</v>
      </c>
    </row>
    <row r="241" spans="1:10" hidden="1" x14ac:dyDescent="0.25">
      <c r="A241" t="s">
        <v>103</v>
      </c>
      <c r="B241" s="3">
        <v>7000000</v>
      </c>
      <c r="C241" s="3"/>
      <c r="D241" s="3"/>
      <c r="E241"/>
      <c r="I241" s="50"/>
    </row>
    <row r="242" spans="1:10" hidden="1" x14ac:dyDescent="0.25">
      <c r="B242" s="3">
        <f>SUM(B237:B241)</f>
        <v>31027500</v>
      </c>
      <c r="C242" s="3"/>
      <c r="D242" s="3"/>
      <c r="E242"/>
    </row>
    <row r="243" spans="1:10" hidden="1" x14ac:dyDescent="0.25">
      <c r="B243" s="3"/>
      <c r="C243" s="3"/>
      <c r="D243" s="3"/>
      <c r="E243"/>
    </row>
    <row r="244" spans="1:10" hidden="1" x14ac:dyDescent="0.25">
      <c r="B244" s="3"/>
      <c r="C244" s="3"/>
      <c r="D244" s="3"/>
    </row>
    <row r="245" spans="1:10" ht="60.75" customHeight="1" thickBot="1" x14ac:dyDescent="0.3">
      <c r="B245" s="118" t="s">
        <v>147</v>
      </c>
      <c r="C245" s="118" t="s">
        <v>146</v>
      </c>
      <c r="D245" s="118" t="s">
        <v>148</v>
      </c>
      <c r="E245" s="118" t="s">
        <v>250</v>
      </c>
      <c r="F245" s="118" t="s">
        <v>249</v>
      </c>
      <c r="G245" s="118" t="s">
        <v>251</v>
      </c>
      <c r="I245" s="3" t="s">
        <v>259</v>
      </c>
    </row>
    <row r="246" spans="1:10" x14ac:dyDescent="0.25">
      <c r="A246" s="88" t="s">
        <v>96</v>
      </c>
      <c r="B246" s="3">
        <f>B218</f>
        <v>1606571</v>
      </c>
      <c r="C246" s="3">
        <f>B219</f>
        <v>8555373</v>
      </c>
      <c r="D246" s="3">
        <f>B220</f>
        <v>8647202</v>
      </c>
      <c r="E246" s="121">
        <v>8000000</v>
      </c>
      <c r="F246" s="3">
        <v>7500000</v>
      </c>
      <c r="G246" s="3">
        <f>0.75*(5625000+1875000)</f>
        <v>5625000</v>
      </c>
      <c r="I246" s="3">
        <f>SUM(B246:H246)</f>
        <v>39934146</v>
      </c>
      <c r="J246" s="3" t="s">
        <v>261</v>
      </c>
    </row>
    <row r="247" spans="1:10" ht="15.75" thickBot="1" x14ac:dyDescent="0.3">
      <c r="A247" s="88" t="s">
        <v>98</v>
      </c>
      <c r="B247" s="47">
        <v>17070</v>
      </c>
      <c r="C247" s="47">
        <v>52500</v>
      </c>
      <c r="D247" s="47">
        <v>183165</v>
      </c>
      <c r="E247" s="47">
        <v>220000</v>
      </c>
      <c r="F247" s="47">
        <v>200000</v>
      </c>
      <c r="G247" s="47">
        <v>105000</v>
      </c>
      <c r="I247" s="203">
        <f>SUM(B247:H247)</f>
        <v>777735</v>
      </c>
      <c r="J247" s="3" t="s">
        <v>260</v>
      </c>
    </row>
    <row r="248" spans="1:10" ht="18.75" x14ac:dyDescent="0.3">
      <c r="A248" s="88"/>
      <c r="B248" s="119">
        <f>SUM(B246:B247)</f>
        <v>1623641</v>
      </c>
      <c r="C248" s="119">
        <f t="shared" ref="C248:G248" si="5">SUM(C246:C247)</f>
        <v>8607873</v>
      </c>
      <c r="D248" s="119">
        <f t="shared" si="5"/>
        <v>8830367</v>
      </c>
      <c r="E248" s="119">
        <f t="shared" si="5"/>
        <v>8220000</v>
      </c>
      <c r="F248" s="119">
        <f t="shared" si="5"/>
        <v>7700000</v>
      </c>
      <c r="G248" s="119">
        <f t="shared" si="5"/>
        <v>5730000</v>
      </c>
      <c r="I248" s="3">
        <f>SUM(I246:I247)</f>
        <v>40711881</v>
      </c>
    </row>
    <row r="249" spans="1:10" ht="18.75" x14ac:dyDescent="0.3">
      <c r="B249" s="29"/>
      <c r="C249" s="29"/>
      <c r="D249" s="120" t="s">
        <v>108</v>
      </c>
      <c r="E249" s="29"/>
      <c r="F249" s="29"/>
      <c r="G249" s="29"/>
    </row>
    <row r="250" spans="1:10" ht="18.75" x14ac:dyDescent="0.3">
      <c r="B250" s="29"/>
      <c r="C250" s="29"/>
      <c r="D250" s="120">
        <f>SUM(B248:G248)</f>
        <v>40711881</v>
      </c>
      <c r="E250" s="27"/>
      <c r="F250" s="29"/>
      <c r="G250" s="29"/>
    </row>
    <row r="251" spans="1:10" ht="18.75" x14ac:dyDescent="0.3">
      <c r="C251" s="29"/>
      <c r="D251" s="120"/>
      <c r="E251" s="27"/>
      <c r="F251" s="29"/>
      <c r="G251" s="29"/>
    </row>
    <row r="252" spans="1:10" ht="15.75" thickBot="1" x14ac:dyDescent="0.3">
      <c r="A252" s="88" t="s">
        <v>233</v>
      </c>
      <c r="B252" s="91"/>
      <c r="C252" s="118"/>
      <c r="D252" s="47">
        <v>48448</v>
      </c>
      <c r="E252" s="47">
        <v>73920</v>
      </c>
      <c r="F252" s="47">
        <v>104160</v>
      </c>
      <c r="G252" s="47">
        <v>119280</v>
      </c>
    </row>
    <row r="253" spans="1:10" ht="19.5" thickBot="1" x14ac:dyDescent="0.35">
      <c r="B253" s="29"/>
      <c r="C253" s="29"/>
      <c r="D253" s="120"/>
      <c r="E253" s="27"/>
      <c r="F253" s="29"/>
      <c r="G253" s="29"/>
    </row>
    <row r="254" spans="1:10" ht="15.75" x14ac:dyDescent="0.25">
      <c r="A254" s="122" t="s">
        <v>143</v>
      </c>
      <c r="B254" s="123">
        <f>-E210</f>
        <v>-30155695.396000002</v>
      </c>
    </row>
    <row r="255" spans="1:10" ht="16.5" thickBot="1" x14ac:dyDescent="0.3">
      <c r="A255" s="124" t="s">
        <v>144</v>
      </c>
      <c r="B255" s="125">
        <f>D250</f>
        <v>40711881</v>
      </c>
    </row>
    <row r="256" spans="1:10" ht="16.5" thickBot="1" x14ac:dyDescent="0.3">
      <c r="A256" s="126" t="s">
        <v>145</v>
      </c>
      <c r="B256" s="125">
        <f>B254+B255</f>
        <v>10556185.603999998</v>
      </c>
    </row>
    <row r="257" spans="1:7" ht="15.75" thickBot="1" x14ac:dyDescent="0.3"/>
    <row r="258" spans="1:7" ht="15" customHeight="1" x14ac:dyDescent="0.25">
      <c r="A258" s="359" t="s">
        <v>266</v>
      </c>
      <c r="B258" s="360"/>
      <c r="C258" s="360"/>
      <c r="D258" s="360"/>
      <c r="E258" s="360"/>
      <c r="F258" s="361"/>
      <c r="G258" s="128"/>
    </row>
    <row r="259" spans="1:7" ht="15" customHeight="1" x14ac:dyDescent="0.25">
      <c r="A259" s="362"/>
      <c r="B259" s="363"/>
      <c r="C259" s="363"/>
      <c r="D259" s="363"/>
      <c r="E259" s="363"/>
      <c r="F259" s="364"/>
      <c r="G259" s="128"/>
    </row>
    <row r="260" spans="1:7" ht="30" customHeight="1" thickBot="1" x14ac:dyDescent="0.3">
      <c r="A260" s="365"/>
      <c r="B260" s="366"/>
      <c r="C260" s="366"/>
      <c r="D260" s="366"/>
      <c r="E260" s="366"/>
      <c r="F260" s="367"/>
      <c r="G260" s="128"/>
    </row>
    <row r="261" spans="1:7" ht="15" customHeight="1" x14ac:dyDescent="0.25">
      <c r="A261" s="156"/>
      <c r="B261" s="156"/>
      <c r="C261" s="156"/>
      <c r="D261" s="156"/>
      <c r="E261" s="156"/>
      <c r="F261" s="156"/>
      <c r="G261" s="128"/>
    </row>
    <row r="262" spans="1:7" ht="14.45" customHeight="1" x14ac:dyDescent="0.25">
      <c r="A262" s="156"/>
      <c r="B262" s="156"/>
      <c r="C262" s="156"/>
      <c r="D262" s="156"/>
      <c r="E262" s="156"/>
      <c r="F262" s="156"/>
      <c r="G262" s="128"/>
    </row>
    <row r="263" spans="1:7" ht="15" customHeight="1" x14ac:dyDescent="0.25">
      <c r="A263" s="128"/>
      <c r="B263" s="128"/>
      <c r="C263" s="128"/>
      <c r="D263" s="128"/>
      <c r="E263" s="128"/>
      <c r="F263" s="128"/>
      <c r="G263" s="128"/>
    </row>
    <row r="264" spans="1:7" ht="15" customHeight="1" x14ac:dyDescent="0.25">
      <c r="A264" s="128"/>
      <c r="B264" s="128"/>
      <c r="C264" s="128"/>
      <c r="D264" s="128"/>
      <c r="E264" s="128"/>
      <c r="F264" s="128"/>
      <c r="G264" s="128"/>
    </row>
  </sheetData>
  <mergeCells count="15">
    <mergeCell ref="D3:E3"/>
    <mergeCell ref="D167:E167"/>
    <mergeCell ref="H175:K179"/>
    <mergeCell ref="D47:E47"/>
    <mergeCell ref="D88:E88"/>
    <mergeCell ref="D142:E142"/>
    <mergeCell ref="A258:F260"/>
    <mergeCell ref="A210:D210"/>
    <mergeCell ref="B47:C47"/>
    <mergeCell ref="C91:F91"/>
    <mergeCell ref="D156:E156"/>
    <mergeCell ref="D147:E147"/>
    <mergeCell ref="D162:E162"/>
    <mergeCell ref="D112:E112"/>
    <mergeCell ref="D54:E54"/>
  </mergeCells>
  <pageMargins left="0.7" right="0.7" top="0.75" bottom="0.75" header="0.3" footer="0.3"/>
  <pageSetup scale="53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87"/>
  <sheetViews>
    <sheetView tabSelected="1" topLeftCell="A218" zoomScale="73" zoomScaleNormal="73" workbookViewId="0">
      <selection activeCell="D226" sqref="D226:H226"/>
    </sheetView>
  </sheetViews>
  <sheetFormatPr defaultRowHeight="15" x14ac:dyDescent="0.25"/>
  <cols>
    <col min="1" max="1" width="54.7109375" customWidth="1"/>
    <col min="2" max="2" width="17.85546875" customWidth="1"/>
    <col min="3" max="3" width="16.7109375" style="22" customWidth="1"/>
    <col min="4" max="4" width="16.7109375" style="2" customWidth="1"/>
    <col min="5" max="5" width="24.28515625" style="3" customWidth="1"/>
    <col min="6" max="6" width="25.42578125" style="3" bestFit="1" customWidth="1"/>
    <col min="7" max="8" width="25.42578125" style="167" customWidth="1"/>
    <col min="9" max="9" width="20.7109375" style="3" customWidth="1"/>
    <col min="10" max="10" width="15.85546875" style="3" customWidth="1"/>
    <col min="11" max="11" width="20.5703125" style="3" customWidth="1"/>
    <col min="12" max="12" width="17.5703125" customWidth="1"/>
    <col min="14" max="14" width="11.85546875" bestFit="1" customWidth="1"/>
    <col min="16" max="16" width="10.42578125" bestFit="1" customWidth="1"/>
  </cols>
  <sheetData>
    <row r="1" spans="1:11" s="9" customFormat="1" ht="76.5" x14ac:dyDescent="0.35">
      <c r="A1" s="164" t="s">
        <v>30</v>
      </c>
      <c r="B1" s="16"/>
      <c r="C1" s="108" t="s">
        <v>138</v>
      </c>
      <c r="D1" s="17" t="s">
        <v>405</v>
      </c>
      <c r="E1" s="17" t="s">
        <v>406</v>
      </c>
      <c r="F1" s="17" t="s">
        <v>407</v>
      </c>
      <c r="G1" s="322" t="s">
        <v>384</v>
      </c>
      <c r="H1" s="322" t="s">
        <v>385</v>
      </c>
      <c r="I1" s="18" t="s">
        <v>38</v>
      </c>
      <c r="J1" s="92" t="s">
        <v>112</v>
      </c>
      <c r="K1" s="17" t="s">
        <v>228</v>
      </c>
    </row>
    <row r="2" spans="1:11" ht="18.75" x14ac:dyDescent="0.3">
      <c r="A2" s="5"/>
      <c r="B2" s="21"/>
      <c r="E2" s="2"/>
      <c r="F2" s="2"/>
      <c r="G2" s="323"/>
      <c r="H2" s="323"/>
      <c r="J2" s="2"/>
    </row>
    <row r="3" spans="1:11" ht="36" customHeight="1" thickBot="1" x14ac:dyDescent="0.35">
      <c r="A3" s="300" t="s">
        <v>52</v>
      </c>
      <c r="B3" s="35"/>
      <c r="D3" s="374"/>
      <c r="E3" s="374"/>
    </row>
    <row r="4" spans="1:11" ht="15.75" thickTop="1" x14ac:dyDescent="0.25">
      <c r="A4" s="4" t="s">
        <v>252</v>
      </c>
      <c r="B4" s="35"/>
      <c r="D4" s="207"/>
      <c r="E4" s="25">
        <v>423000</v>
      </c>
      <c r="F4" s="79"/>
      <c r="G4" s="215">
        <v>423000</v>
      </c>
      <c r="H4" s="79">
        <f>E4-G4</f>
        <v>0</v>
      </c>
    </row>
    <row r="5" spans="1:11" x14ac:dyDescent="0.25">
      <c r="A5" t="s">
        <v>236</v>
      </c>
      <c r="B5" s="35"/>
      <c r="C5"/>
      <c r="D5"/>
      <c r="E5" s="121">
        <v>43000</v>
      </c>
      <c r="F5"/>
      <c r="G5" s="324"/>
      <c r="H5" s="79">
        <f t="shared" ref="H5:H18" si="0">E5-G5</f>
        <v>43000</v>
      </c>
      <c r="I5"/>
      <c r="J5"/>
      <c r="K5"/>
    </row>
    <row r="6" spans="1:11" x14ac:dyDescent="0.25">
      <c r="A6" s="4" t="s">
        <v>97</v>
      </c>
      <c r="B6" s="35"/>
      <c r="D6" s="207"/>
      <c r="E6" s="25">
        <v>-500000</v>
      </c>
      <c r="F6" s="79"/>
      <c r="G6" s="215">
        <v>-500000</v>
      </c>
      <c r="H6" s="79">
        <f t="shared" si="0"/>
        <v>0</v>
      </c>
    </row>
    <row r="7" spans="1:11" x14ac:dyDescent="0.25">
      <c r="A7" s="4" t="s">
        <v>50</v>
      </c>
      <c r="B7" s="35"/>
      <c r="D7" s="207"/>
      <c r="E7" s="25"/>
      <c r="F7" s="79">
        <f>SUM(E4:E6)</f>
        <v>-34000</v>
      </c>
      <c r="G7" s="215"/>
      <c r="H7" s="79"/>
    </row>
    <row r="8" spans="1:11" x14ac:dyDescent="0.25">
      <c r="A8" s="4"/>
      <c r="B8" s="35"/>
      <c r="D8" s="207"/>
      <c r="E8" s="25"/>
      <c r="F8" s="79"/>
      <c r="G8" s="215"/>
      <c r="H8" s="79"/>
    </row>
    <row r="9" spans="1:11" x14ac:dyDescent="0.25">
      <c r="A9" s="351" t="s">
        <v>276</v>
      </c>
      <c r="B9" s="35"/>
      <c r="D9" s="207"/>
      <c r="E9" s="25"/>
      <c r="F9" s="79"/>
      <c r="G9" s="215"/>
      <c r="H9" s="79"/>
    </row>
    <row r="10" spans="1:11" x14ac:dyDescent="0.25">
      <c r="A10" s="210" t="s">
        <v>273</v>
      </c>
      <c r="B10" s="35"/>
      <c r="D10" s="207"/>
      <c r="E10" s="25"/>
      <c r="F10" s="79"/>
      <c r="G10" s="215"/>
      <c r="H10" s="79"/>
    </row>
    <row r="11" spans="1:11" ht="30" x14ac:dyDescent="0.25">
      <c r="A11" s="43" t="s">
        <v>272</v>
      </c>
      <c r="B11" s="35"/>
      <c r="D11" s="39"/>
      <c r="E11" s="40">
        <v>133000</v>
      </c>
      <c r="F11" s="79"/>
      <c r="G11" s="215">
        <v>128979.37</v>
      </c>
      <c r="H11" s="79">
        <f t="shared" si="0"/>
        <v>4020.6300000000047</v>
      </c>
    </row>
    <row r="12" spans="1:11" x14ac:dyDescent="0.25">
      <c r="A12" s="42" t="s">
        <v>274</v>
      </c>
      <c r="B12" s="35"/>
      <c r="D12" s="39"/>
      <c r="E12" s="40">
        <v>35400</v>
      </c>
      <c r="F12" s="79"/>
      <c r="G12" s="215">
        <v>33444</v>
      </c>
      <c r="H12" s="79">
        <f t="shared" si="0"/>
        <v>1956</v>
      </c>
    </row>
    <row r="13" spans="1:11" ht="45" x14ac:dyDescent="0.25">
      <c r="A13" s="43" t="s">
        <v>363</v>
      </c>
      <c r="B13" s="35"/>
      <c r="C13" s="116"/>
      <c r="D13" s="39"/>
      <c r="E13" s="40">
        <v>30800</v>
      </c>
      <c r="F13" s="79"/>
      <c r="G13" s="215">
        <v>19352.75</v>
      </c>
      <c r="H13" s="79">
        <f t="shared" si="0"/>
        <v>11447.25</v>
      </c>
    </row>
    <row r="14" spans="1:11" x14ac:dyDescent="0.25">
      <c r="A14" s="42" t="s">
        <v>388</v>
      </c>
      <c r="B14" s="35"/>
      <c r="D14" s="39"/>
      <c r="E14" s="40">
        <v>15000</v>
      </c>
      <c r="F14" s="79"/>
      <c r="G14" s="215">
        <v>10000</v>
      </c>
      <c r="H14" s="79">
        <f t="shared" si="0"/>
        <v>5000</v>
      </c>
    </row>
    <row r="15" spans="1:11" x14ac:dyDescent="0.25">
      <c r="A15" s="211" t="s">
        <v>275</v>
      </c>
      <c r="B15" s="35"/>
      <c r="D15" s="39"/>
      <c r="E15" s="40"/>
      <c r="F15" s="79"/>
      <c r="G15" s="215"/>
      <c r="H15" s="79"/>
    </row>
    <row r="16" spans="1:11" x14ac:dyDescent="0.25">
      <c r="A16" s="42" t="s">
        <v>386</v>
      </c>
      <c r="B16" s="35"/>
      <c r="D16" s="39"/>
      <c r="E16" s="40">
        <v>352913</v>
      </c>
      <c r="F16" s="79"/>
      <c r="G16" s="215">
        <v>342377.38</v>
      </c>
      <c r="H16" s="79">
        <f t="shared" si="0"/>
        <v>10535.619999999995</v>
      </c>
    </row>
    <row r="17" spans="1:16" x14ac:dyDescent="0.25">
      <c r="A17" s="42" t="s">
        <v>389</v>
      </c>
      <c r="B17" s="35"/>
      <c r="D17" s="39"/>
      <c r="E17" s="40">
        <v>158404</v>
      </c>
      <c r="F17" s="79"/>
      <c r="G17" s="215">
        <v>104820.32</v>
      </c>
      <c r="H17" s="79">
        <f t="shared" si="0"/>
        <v>53583.679999999993</v>
      </c>
    </row>
    <row r="18" spans="1:16" x14ac:dyDescent="0.25">
      <c r="A18" s="216" t="s">
        <v>387</v>
      </c>
      <c r="B18" s="35"/>
      <c r="D18" s="39"/>
      <c r="E18" s="217">
        <v>63240</v>
      </c>
      <c r="F18" s="79"/>
      <c r="G18" s="215">
        <v>55486</v>
      </c>
      <c r="H18" s="79">
        <f t="shared" si="0"/>
        <v>7754</v>
      </c>
    </row>
    <row r="19" spans="1:16" x14ac:dyDescent="0.25">
      <c r="G19" s="352"/>
      <c r="H19" s="352"/>
    </row>
    <row r="20" spans="1:16" x14ac:dyDescent="0.25">
      <c r="A20" s="1"/>
      <c r="B20" s="35"/>
      <c r="C20" s="22" t="s">
        <v>398</v>
      </c>
      <c r="D20" s="39"/>
      <c r="E20" s="170"/>
      <c r="F20" s="79">
        <f>SUM(E11:E18)</f>
        <v>788757</v>
      </c>
      <c r="G20" s="79">
        <f>SUM(G11:G18)</f>
        <v>694459.82000000007</v>
      </c>
      <c r="H20" s="79">
        <f>SUM(H11:H18)</f>
        <v>94297.18</v>
      </c>
    </row>
    <row r="21" spans="1:16" x14ac:dyDescent="0.25">
      <c r="A21" s="43" t="s">
        <v>65</v>
      </c>
      <c r="B21" s="35"/>
      <c r="D21" s="39"/>
      <c r="E21" s="40">
        <v>3390</v>
      </c>
      <c r="F21" s="79">
        <v>3390</v>
      </c>
      <c r="G21" s="215">
        <v>3390</v>
      </c>
      <c r="H21" s="79">
        <f>E21-G21</f>
        <v>0</v>
      </c>
    </row>
    <row r="22" spans="1:16" x14ac:dyDescent="0.25">
      <c r="A22" s="6" t="s">
        <v>277</v>
      </c>
      <c r="B22" s="35"/>
      <c r="D22" s="39"/>
      <c r="E22" s="40"/>
      <c r="F22" s="79"/>
      <c r="G22" s="215"/>
      <c r="H22" s="215"/>
    </row>
    <row r="23" spans="1:16" x14ac:dyDescent="0.25">
      <c r="A23" s="166" t="s">
        <v>223</v>
      </c>
      <c r="B23" s="35"/>
      <c r="D23" s="40"/>
      <c r="E23" s="296">
        <f>SUM(E4:E21)</f>
        <v>758147</v>
      </c>
      <c r="F23" s="103"/>
      <c r="G23" s="215">
        <v>2842474.82</v>
      </c>
      <c r="H23" s="215">
        <f>C28-G23</f>
        <v>292290.18000000017</v>
      </c>
      <c r="I23" s="50" t="s">
        <v>229</v>
      </c>
    </row>
    <row r="24" spans="1:16" x14ac:dyDescent="0.25">
      <c r="A24" s="166" t="s">
        <v>224</v>
      </c>
      <c r="B24" s="35"/>
      <c r="D24" s="296">
        <f>2862000-E23</f>
        <v>2103853</v>
      </c>
      <c r="E24" s="40"/>
      <c r="F24" s="79"/>
      <c r="G24" s="215"/>
      <c r="H24" s="215"/>
      <c r="I24" s="3">
        <f>E23+D24</f>
        <v>2862000</v>
      </c>
    </row>
    <row r="25" spans="1:16" x14ac:dyDescent="0.25">
      <c r="A25" s="219" t="s">
        <v>231</v>
      </c>
      <c r="B25" s="35"/>
      <c r="D25" s="297">
        <v>64000</v>
      </c>
      <c r="E25" s="297">
        <v>36000</v>
      </c>
      <c r="F25" s="79"/>
      <c r="G25" s="215"/>
      <c r="H25" s="215"/>
      <c r="I25" s="50" t="s">
        <v>234</v>
      </c>
      <c r="K25" s="3">
        <v>100000</v>
      </c>
    </row>
    <row r="26" spans="1:16" ht="29.25" customHeight="1" x14ac:dyDescent="0.25">
      <c r="A26" s="218" t="s">
        <v>235</v>
      </c>
      <c r="B26" s="35"/>
      <c r="C26" s="116" t="s">
        <v>364</v>
      </c>
      <c r="D26" s="217">
        <f>0.64*186200</f>
        <v>119168</v>
      </c>
      <c r="E26" s="217">
        <f>0.36*186200</f>
        <v>67032</v>
      </c>
      <c r="F26" s="79"/>
      <c r="G26" s="215">
        <v>0</v>
      </c>
      <c r="H26" s="215">
        <f>D26+E26-G26</f>
        <v>186200</v>
      </c>
      <c r="I26" s="50" t="s">
        <v>234</v>
      </c>
      <c r="K26" s="3">
        <v>186200</v>
      </c>
      <c r="P26" s="132"/>
    </row>
    <row r="27" spans="1:16" x14ac:dyDescent="0.25">
      <c r="A27" s="166" t="s">
        <v>399</v>
      </c>
      <c r="B27" s="35"/>
      <c r="C27" s="114" t="s">
        <v>362</v>
      </c>
      <c r="D27" s="296">
        <v>0</v>
      </c>
      <c r="E27" s="40"/>
      <c r="F27" s="79"/>
      <c r="G27" s="215"/>
      <c r="H27" s="215"/>
      <c r="I27" s="167"/>
      <c r="P27" s="132"/>
    </row>
    <row r="28" spans="1:16" x14ac:dyDescent="0.25">
      <c r="A28" s="166" t="s">
        <v>219</v>
      </c>
      <c r="B28" s="35"/>
      <c r="C28" s="114">
        <f>E23+D24+D25+E25+D27+D29+D30+D31+D28</f>
        <v>3134765</v>
      </c>
      <c r="D28" s="296">
        <v>31800</v>
      </c>
      <c r="E28" s="40"/>
      <c r="F28" s="79"/>
      <c r="G28" s="215"/>
      <c r="H28" s="215"/>
      <c r="I28" s="167"/>
    </row>
    <row r="29" spans="1:16" x14ac:dyDescent="0.25">
      <c r="A29" s="166" t="s">
        <v>220</v>
      </c>
      <c r="B29" s="35"/>
      <c r="D29" s="296">
        <v>67965</v>
      </c>
      <c r="E29" s="40"/>
      <c r="F29" s="79"/>
      <c r="G29" s="215"/>
      <c r="H29" s="215"/>
    </row>
    <row r="30" spans="1:16" x14ac:dyDescent="0.25">
      <c r="A30" s="166" t="s">
        <v>221</v>
      </c>
      <c r="B30" s="35"/>
      <c r="D30" s="296">
        <v>50000</v>
      </c>
      <c r="E30" s="40"/>
      <c r="F30" s="79"/>
      <c r="G30" s="215"/>
      <c r="H30" s="215"/>
    </row>
    <row r="31" spans="1:16" x14ac:dyDescent="0.25">
      <c r="A31" s="166" t="s">
        <v>222</v>
      </c>
      <c r="B31" s="35"/>
      <c r="D31" s="296">
        <v>23000</v>
      </c>
      <c r="E31" s="40"/>
      <c r="F31" s="79"/>
      <c r="G31" s="215"/>
      <c r="H31" s="215"/>
      <c r="I31" s="3">
        <f>C31+F31</f>
        <v>0</v>
      </c>
    </row>
    <row r="32" spans="1:16" ht="15.75" thickBot="1" x14ac:dyDescent="0.3">
      <c r="A32" s="216" t="s">
        <v>227</v>
      </c>
      <c r="B32" s="35"/>
      <c r="D32" s="221">
        <v>19444</v>
      </c>
      <c r="E32" s="220">
        <v>19444</v>
      </c>
      <c r="F32" s="79"/>
      <c r="G32" s="215">
        <v>0</v>
      </c>
      <c r="H32" s="215">
        <f>D32+E32-0</f>
        <v>38888</v>
      </c>
      <c r="K32" s="3">
        <v>38888</v>
      </c>
    </row>
    <row r="33" spans="1:14" x14ac:dyDescent="0.25">
      <c r="A33" s="4"/>
      <c r="B33" s="35"/>
      <c r="C33" s="22">
        <f>SUM(D23:D32)</f>
        <v>2479230</v>
      </c>
      <c r="D33" s="172" t="s">
        <v>164</v>
      </c>
      <c r="E33" s="170" t="s">
        <v>162</v>
      </c>
      <c r="F33" s="79">
        <f>SUM(E23:E32)</f>
        <v>880623</v>
      </c>
      <c r="G33" s="215"/>
      <c r="H33" s="215"/>
    </row>
    <row r="34" spans="1:14" x14ac:dyDescent="0.25">
      <c r="A34" s="4"/>
      <c r="B34" s="35"/>
      <c r="D34" s="39"/>
      <c r="E34" s="40"/>
      <c r="F34" s="79"/>
      <c r="G34" s="215"/>
      <c r="H34" s="215"/>
    </row>
    <row r="35" spans="1:14" x14ac:dyDescent="0.25">
      <c r="A35" s="44" t="s">
        <v>278</v>
      </c>
      <c r="B35" s="35"/>
      <c r="D35" s="39"/>
      <c r="E35" s="40"/>
      <c r="F35" s="79"/>
      <c r="G35" s="215"/>
      <c r="H35" s="215"/>
    </row>
    <row r="36" spans="1:14" ht="30" x14ac:dyDescent="0.25">
      <c r="A36" s="42" t="s">
        <v>225</v>
      </c>
      <c r="B36" s="298" t="s">
        <v>365</v>
      </c>
      <c r="D36" s="39"/>
      <c r="E36" s="40">
        <v>331738</v>
      </c>
      <c r="F36" s="79"/>
      <c r="G36" s="215">
        <f>136642.33+50767.18</f>
        <v>187409.50999999998</v>
      </c>
      <c r="H36" s="215">
        <f>E36-G36</f>
        <v>144328.49000000002</v>
      </c>
    </row>
    <row r="37" spans="1:14" x14ac:dyDescent="0.25">
      <c r="A37" s="42" t="s">
        <v>391</v>
      </c>
      <c r="B37" s="298"/>
      <c r="D37" s="39"/>
      <c r="E37" s="40">
        <v>45800</v>
      </c>
      <c r="F37" s="79"/>
      <c r="G37" s="215">
        <f>12815.36+3414.53</f>
        <v>16229.890000000001</v>
      </c>
      <c r="H37" s="215">
        <f>E37-G37</f>
        <v>29570.11</v>
      </c>
    </row>
    <row r="38" spans="1:14" x14ac:dyDescent="0.25">
      <c r="A38" s="216" t="s">
        <v>116</v>
      </c>
      <c r="B38" s="35"/>
      <c r="D38" s="39"/>
      <c r="E38" s="217">
        <f>0.15*E36</f>
        <v>49760.7</v>
      </c>
      <c r="F38" s="79"/>
      <c r="G38" s="215">
        <v>0</v>
      </c>
      <c r="H38" s="215">
        <f t="shared" ref="H38:H56" si="1">E38-G38</f>
        <v>49760.7</v>
      </c>
      <c r="K38" s="3">
        <v>49800</v>
      </c>
    </row>
    <row r="39" spans="1:14" x14ac:dyDescent="0.25">
      <c r="A39" s="355" t="s">
        <v>392</v>
      </c>
      <c r="B39" s="35"/>
      <c r="D39" s="39"/>
      <c r="E39" s="354">
        <v>3105</v>
      </c>
      <c r="F39" s="79"/>
      <c r="G39" s="215">
        <f>3104.57+1700</f>
        <v>4804.57</v>
      </c>
      <c r="H39" s="215">
        <f t="shared" si="1"/>
        <v>-1699.5699999999997</v>
      </c>
    </row>
    <row r="40" spans="1:14" x14ac:dyDescent="0.25">
      <c r="A40" s="353" t="s">
        <v>397</v>
      </c>
      <c r="B40" s="35"/>
      <c r="D40" s="39"/>
      <c r="E40" s="354">
        <v>400</v>
      </c>
      <c r="F40" s="79"/>
      <c r="G40" s="215">
        <v>400</v>
      </c>
      <c r="H40" s="215">
        <f t="shared" si="1"/>
        <v>0</v>
      </c>
    </row>
    <row r="41" spans="1:14" x14ac:dyDescent="0.25">
      <c r="A41" s="45" t="s">
        <v>20</v>
      </c>
      <c r="B41" s="35"/>
      <c r="D41" s="39"/>
      <c r="E41" s="40">
        <v>59167</v>
      </c>
      <c r="F41" s="79"/>
      <c r="G41" s="215">
        <v>0</v>
      </c>
      <c r="H41" s="215">
        <f t="shared" si="1"/>
        <v>59167</v>
      </c>
    </row>
    <row r="42" spans="1:14" x14ac:dyDescent="0.25">
      <c r="A42" s="45" t="s">
        <v>117</v>
      </c>
      <c r="B42" s="35"/>
      <c r="D42" s="39"/>
      <c r="E42" s="40">
        <v>40000</v>
      </c>
      <c r="F42" s="79"/>
      <c r="G42" s="215">
        <v>0</v>
      </c>
      <c r="H42" s="215">
        <f t="shared" si="1"/>
        <v>40000</v>
      </c>
    </row>
    <row r="43" spans="1:14" x14ac:dyDescent="0.25">
      <c r="A43" s="45" t="s">
        <v>23</v>
      </c>
      <c r="B43" s="35"/>
      <c r="D43" s="39"/>
      <c r="E43" s="40">
        <v>50000</v>
      </c>
      <c r="F43" s="79"/>
      <c r="G43" s="215">
        <f>18121.4+2308.58</f>
        <v>20429.980000000003</v>
      </c>
      <c r="H43" s="215">
        <f t="shared" si="1"/>
        <v>29570.019999999997</v>
      </c>
    </row>
    <row r="44" spans="1:14" x14ac:dyDescent="0.25">
      <c r="A44" s="45" t="s">
        <v>24</v>
      </c>
      <c r="B44" s="35"/>
      <c r="D44" s="39"/>
      <c r="E44" s="40">
        <v>10000</v>
      </c>
      <c r="F44" s="79"/>
      <c r="G44" s="215">
        <v>0</v>
      </c>
      <c r="H44" s="215">
        <f t="shared" si="1"/>
        <v>10000</v>
      </c>
    </row>
    <row r="45" spans="1:14" x14ac:dyDescent="0.25">
      <c r="A45" s="45" t="s">
        <v>230</v>
      </c>
      <c r="B45" s="35"/>
      <c r="D45" s="39"/>
      <c r="E45" s="40">
        <v>91325</v>
      </c>
      <c r="F45" s="79"/>
      <c r="G45" s="215">
        <v>0</v>
      </c>
      <c r="H45" s="215">
        <f t="shared" si="1"/>
        <v>91325</v>
      </c>
    </row>
    <row r="46" spans="1:14" x14ac:dyDescent="0.25">
      <c r="A46" s="45" t="s">
        <v>119</v>
      </c>
      <c r="B46" s="35"/>
      <c r="D46" s="39"/>
      <c r="E46" s="40">
        <v>100000</v>
      </c>
      <c r="F46" s="79"/>
      <c r="G46" s="215">
        <v>0</v>
      </c>
      <c r="H46" s="215">
        <f t="shared" si="1"/>
        <v>100000</v>
      </c>
      <c r="N46" s="132"/>
    </row>
    <row r="47" spans="1:14" x14ac:dyDescent="0.25">
      <c r="A47" s="93" t="s">
        <v>393</v>
      </c>
      <c r="B47" s="35"/>
      <c r="D47" s="320"/>
      <c r="E47" s="25">
        <v>900</v>
      </c>
      <c r="F47" s="79"/>
      <c r="G47" s="215">
        <v>900</v>
      </c>
      <c r="H47" s="215">
        <f t="shared" si="1"/>
        <v>0</v>
      </c>
      <c r="N47" s="132"/>
    </row>
    <row r="48" spans="1:14" x14ac:dyDescent="0.25">
      <c r="A48" s="93" t="s">
        <v>394</v>
      </c>
      <c r="B48" s="35"/>
      <c r="D48" s="207"/>
      <c r="E48" s="25">
        <f>15338+100</f>
        <v>15438</v>
      </c>
      <c r="F48" s="79"/>
      <c r="G48" s="215">
        <v>15337.2</v>
      </c>
      <c r="H48" s="215">
        <f t="shared" si="1"/>
        <v>100.79999999999927</v>
      </c>
    </row>
    <row r="49" spans="1:12" x14ac:dyDescent="0.25">
      <c r="A49" s="93" t="s">
        <v>122</v>
      </c>
      <c r="B49" s="35"/>
      <c r="D49" s="207"/>
      <c r="E49" s="25">
        <v>20000</v>
      </c>
      <c r="F49" s="79"/>
      <c r="G49" s="215">
        <v>0</v>
      </c>
      <c r="H49" s="215">
        <f t="shared" si="1"/>
        <v>20000</v>
      </c>
    </row>
    <row r="50" spans="1:12" ht="15.75" thickBot="1" x14ac:dyDescent="0.3">
      <c r="A50" s="222" t="s">
        <v>123</v>
      </c>
      <c r="B50" s="35"/>
      <c r="D50" s="207"/>
      <c r="E50" s="223">
        <f>0.15*771163</f>
        <v>115674.45</v>
      </c>
      <c r="F50" s="79"/>
      <c r="G50" s="215">
        <v>0</v>
      </c>
      <c r="H50" s="215">
        <f t="shared" si="1"/>
        <v>115674.45</v>
      </c>
      <c r="K50" s="3">
        <v>115476</v>
      </c>
    </row>
    <row r="51" spans="1:12" x14ac:dyDescent="0.25">
      <c r="A51" s="7"/>
      <c r="B51" s="35"/>
      <c r="C51" s="69" t="s">
        <v>163</v>
      </c>
      <c r="D51" s="207"/>
      <c r="F51" s="79">
        <f>SUM(E36:E50)</f>
        <v>933308.14999999991</v>
      </c>
      <c r="G51" s="215"/>
      <c r="H51" s="215"/>
    </row>
    <row r="52" spans="1:12" x14ac:dyDescent="0.25">
      <c r="A52" s="7"/>
      <c r="B52" s="35"/>
      <c r="D52" s="320"/>
      <c r="E52" s="69"/>
      <c r="F52" s="79"/>
      <c r="G52" s="215"/>
      <c r="H52" s="215">
        <f t="shared" si="1"/>
        <v>0</v>
      </c>
    </row>
    <row r="53" spans="1:12" x14ac:dyDescent="0.25">
      <c r="A53" s="7" t="s">
        <v>395</v>
      </c>
      <c r="B53" s="35"/>
      <c r="D53" s="320"/>
      <c r="E53" s="69">
        <v>463</v>
      </c>
      <c r="F53" s="79"/>
      <c r="G53" s="215">
        <v>462</v>
      </c>
      <c r="H53" s="215">
        <f t="shared" si="1"/>
        <v>1</v>
      </c>
    </row>
    <row r="54" spans="1:12" x14ac:dyDescent="0.25">
      <c r="A54" s="7" t="s">
        <v>396</v>
      </c>
      <c r="B54" s="35"/>
      <c r="D54" s="207"/>
      <c r="E54" s="69">
        <v>17911</v>
      </c>
      <c r="F54" s="79">
        <f>SUM(E53:E54)</f>
        <v>18374</v>
      </c>
      <c r="G54" s="215">
        <v>17910.900000000001</v>
      </c>
      <c r="H54" s="215">
        <f t="shared" si="1"/>
        <v>9.9999999998544808E-2</v>
      </c>
    </row>
    <row r="55" spans="1:12" x14ac:dyDescent="0.25">
      <c r="A55" s="6" t="s">
        <v>279</v>
      </c>
      <c r="B55" s="35"/>
      <c r="D55" s="207"/>
      <c r="E55" s="25"/>
      <c r="F55" s="79"/>
      <c r="G55" s="215"/>
      <c r="H55" s="215">
        <f t="shared" si="1"/>
        <v>0</v>
      </c>
    </row>
    <row r="56" spans="1:12" ht="30.75" thickBot="1" x14ac:dyDescent="0.3">
      <c r="A56" s="71" t="s">
        <v>39</v>
      </c>
      <c r="B56" s="35"/>
      <c r="C56" s="186"/>
      <c r="D56" s="72"/>
      <c r="E56" s="130">
        <v>2000000</v>
      </c>
      <c r="F56" s="187">
        <v>2000000</v>
      </c>
      <c r="G56" s="215">
        <v>0</v>
      </c>
      <c r="H56" s="215">
        <f t="shared" si="1"/>
        <v>2000000</v>
      </c>
      <c r="I56" s="2" t="s">
        <v>111</v>
      </c>
      <c r="J56" s="3">
        <v>500000</v>
      </c>
    </row>
    <row r="57" spans="1:12" s="53" customFormat="1" ht="18.75" x14ac:dyDescent="0.3">
      <c r="A57" s="180" t="s">
        <v>85</v>
      </c>
      <c r="B57" s="176"/>
      <c r="C57" s="178">
        <f>C33</f>
        <v>2479230</v>
      </c>
      <c r="D57" s="208">
        <f>SUM(D4:D56)</f>
        <v>2479230</v>
      </c>
      <c r="E57" s="179">
        <f>SUM(E4:E56)</f>
        <v>4590452.1500000004</v>
      </c>
      <c r="F57" s="208">
        <f>SUM(F4:F56)</f>
        <v>4590452.1500000004</v>
      </c>
      <c r="G57" s="325">
        <f>SUM(G20:G56)+G6+G4</f>
        <v>3727208.6899999995</v>
      </c>
      <c r="H57" s="325">
        <f>SUM(H20:H56)+H5</f>
        <v>3342473.46</v>
      </c>
      <c r="I57" s="52"/>
      <c r="J57" s="52"/>
      <c r="K57" s="52"/>
      <c r="L57" s="190" t="s">
        <v>383</v>
      </c>
    </row>
    <row r="58" spans="1:12" s="53" customFormat="1" ht="18.75" x14ac:dyDescent="0.3">
      <c r="A58" s="175" t="s">
        <v>79</v>
      </c>
      <c r="B58" s="371"/>
      <c r="C58" s="372"/>
      <c r="D58" s="379">
        <f>D57+E57</f>
        <v>7069682.1500000004</v>
      </c>
      <c r="E58" s="379"/>
      <c r="F58" s="177"/>
      <c r="G58" s="325"/>
      <c r="H58" s="325"/>
      <c r="I58" s="52"/>
      <c r="J58" s="52"/>
      <c r="K58" s="52"/>
      <c r="L58" s="52">
        <f>SUM(K4:K50)</f>
        <v>490364</v>
      </c>
    </row>
    <row r="59" spans="1:12" s="53" customFormat="1" ht="15.75" x14ac:dyDescent="0.25">
      <c r="A59" s="54"/>
      <c r="B59" s="57"/>
      <c r="C59" s="58"/>
      <c r="D59" s="70"/>
      <c r="E59" s="70"/>
      <c r="F59" s="70"/>
      <c r="G59" s="326">
        <f>G57+H57</f>
        <v>7069682.1499999994</v>
      </c>
      <c r="H59" s="326"/>
      <c r="I59" s="52"/>
      <c r="J59" s="52"/>
      <c r="K59" s="52"/>
    </row>
    <row r="60" spans="1:12" s="53" customFormat="1" ht="15.75" x14ac:dyDescent="0.25">
      <c r="A60" s="54"/>
      <c r="B60" s="57"/>
      <c r="C60" s="58"/>
      <c r="D60" s="70"/>
      <c r="E60" s="70"/>
      <c r="F60" s="70"/>
      <c r="G60" s="326"/>
      <c r="H60" s="326"/>
      <c r="I60" s="52"/>
      <c r="J60" s="52"/>
      <c r="K60" s="52"/>
    </row>
    <row r="61" spans="1:12" s="53" customFormat="1" ht="15.75" x14ac:dyDescent="0.25">
      <c r="A61" s="54"/>
      <c r="B61" s="57"/>
      <c r="C61" s="58"/>
      <c r="D61" s="70"/>
      <c r="E61" s="70"/>
      <c r="F61" s="70"/>
      <c r="G61" s="326"/>
      <c r="H61" s="326"/>
      <c r="I61" s="52"/>
      <c r="J61" s="52"/>
      <c r="K61" s="52"/>
    </row>
    <row r="62" spans="1:12" s="53" customFormat="1" ht="15.75" x14ac:dyDescent="0.25">
      <c r="A62" s="54"/>
      <c r="B62" s="57"/>
      <c r="C62" s="58"/>
      <c r="D62" s="70"/>
      <c r="E62" s="70"/>
      <c r="F62" s="70"/>
      <c r="G62" s="326"/>
      <c r="H62" s="326"/>
      <c r="I62" s="52"/>
      <c r="J62" s="52"/>
      <c r="K62" s="52"/>
    </row>
    <row r="63" spans="1:12" s="53" customFormat="1" ht="15.75" x14ac:dyDescent="0.25">
      <c r="A63" s="54"/>
      <c r="B63" s="57"/>
      <c r="C63" s="58"/>
      <c r="D63" s="70"/>
      <c r="E63" s="70"/>
      <c r="F63" s="70"/>
      <c r="G63" s="326"/>
      <c r="H63" s="326"/>
      <c r="I63" s="52"/>
      <c r="J63" s="52"/>
      <c r="K63" s="52"/>
    </row>
    <row r="64" spans="1:12" s="53" customFormat="1" ht="15.75" x14ac:dyDescent="0.25">
      <c r="A64" s="54"/>
      <c r="B64" s="57"/>
      <c r="C64" s="58"/>
      <c r="D64" s="70"/>
      <c r="E64" s="70"/>
      <c r="F64" s="70"/>
      <c r="G64" s="326"/>
      <c r="H64" s="326"/>
      <c r="I64" s="52"/>
      <c r="J64" s="52"/>
      <c r="K64" s="52"/>
    </row>
    <row r="65" spans="1:11" s="53" customFormat="1" ht="15.75" x14ac:dyDescent="0.25">
      <c r="A65" s="54"/>
      <c r="B65" s="57"/>
      <c r="C65" s="58"/>
      <c r="D65" s="70"/>
      <c r="E65" s="70"/>
      <c r="F65" s="70"/>
      <c r="G65" s="326"/>
      <c r="H65" s="326"/>
      <c r="I65" s="52"/>
      <c r="J65" s="52"/>
      <c r="K65" s="52"/>
    </row>
    <row r="66" spans="1:11" s="53" customFormat="1" ht="15.75" x14ac:dyDescent="0.25">
      <c r="A66" s="54"/>
      <c r="B66" s="57"/>
      <c r="C66" s="58"/>
      <c r="D66" s="70"/>
      <c r="E66" s="70"/>
      <c r="F66" s="70"/>
      <c r="G66" s="326"/>
      <c r="H66" s="326"/>
      <c r="I66" s="52"/>
      <c r="J66" s="52"/>
      <c r="K66" s="52"/>
    </row>
    <row r="67" spans="1:11" s="53" customFormat="1" ht="15.75" x14ac:dyDescent="0.25">
      <c r="A67" s="54"/>
      <c r="B67" s="57"/>
      <c r="C67" s="58"/>
      <c r="D67" s="70"/>
      <c r="E67" s="70"/>
      <c r="F67" s="70"/>
      <c r="G67" s="326"/>
      <c r="H67" s="326"/>
      <c r="I67" s="52"/>
      <c r="J67" s="52"/>
      <c r="K67" s="52"/>
    </row>
    <row r="68" spans="1:11" s="53" customFormat="1" ht="15.75" x14ac:dyDescent="0.25">
      <c r="A68" s="54"/>
      <c r="B68" s="57"/>
      <c r="C68" s="58"/>
      <c r="D68" s="70"/>
      <c r="E68" s="70"/>
      <c r="F68" s="70"/>
      <c r="G68" s="326"/>
      <c r="H68" s="326"/>
      <c r="I68" s="52"/>
      <c r="J68" s="52"/>
      <c r="K68" s="52"/>
    </row>
    <row r="69" spans="1:11" s="53" customFormat="1" ht="15.75" x14ac:dyDescent="0.25">
      <c r="A69" s="54"/>
      <c r="B69" s="57"/>
      <c r="C69" s="58"/>
      <c r="D69" s="70"/>
      <c r="E69" s="70"/>
      <c r="F69" s="70"/>
      <c r="G69" s="326"/>
      <c r="H69" s="326"/>
      <c r="I69" s="52"/>
      <c r="J69" s="52"/>
      <c r="K69" s="52"/>
    </row>
    <row r="70" spans="1:11" s="53" customFormat="1" ht="15.75" x14ac:dyDescent="0.25">
      <c r="A70" s="54"/>
      <c r="B70" s="57"/>
      <c r="C70" s="58"/>
      <c r="D70" s="70"/>
      <c r="E70" s="70"/>
      <c r="F70" s="70"/>
      <c r="G70" s="326"/>
      <c r="H70" s="326"/>
      <c r="I70" s="52"/>
      <c r="J70" s="52"/>
      <c r="K70" s="52"/>
    </row>
    <row r="71" spans="1:11" s="53" customFormat="1" ht="15.75" x14ac:dyDescent="0.25">
      <c r="A71" s="54"/>
      <c r="B71" s="57"/>
      <c r="C71" s="58"/>
      <c r="D71" s="70"/>
      <c r="E71" s="70"/>
      <c r="F71" s="70"/>
      <c r="G71" s="326"/>
      <c r="H71" s="326"/>
      <c r="I71" s="52"/>
      <c r="J71" s="52"/>
      <c r="K71" s="52"/>
    </row>
    <row r="72" spans="1:11" s="53" customFormat="1" ht="15.75" x14ac:dyDescent="0.25">
      <c r="A72" s="54"/>
      <c r="B72" s="57"/>
      <c r="C72" s="58"/>
      <c r="D72" s="70"/>
      <c r="E72" s="70"/>
      <c r="F72" s="70"/>
      <c r="G72" s="326"/>
      <c r="H72" s="326"/>
      <c r="I72" s="52"/>
      <c r="J72" s="52"/>
      <c r="K72" s="52"/>
    </row>
    <row r="73" spans="1:11" s="53" customFormat="1" ht="15.75" x14ac:dyDescent="0.25">
      <c r="A73" s="54"/>
      <c r="B73" s="57"/>
      <c r="C73" s="58"/>
      <c r="D73" s="70"/>
      <c r="E73" s="70"/>
      <c r="F73" s="70"/>
      <c r="G73" s="326"/>
      <c r="H73" s="326"/>
      <c r="I73" s="52"/>
      <c r="J73" s="52"/>
      <c r="K73" s="52"/>
    </row>
    <row r="74" spans="1:11" s="53" customFormat="1" ht="15.75" x14ac:dyDescent="0.25">
      <c r="A74" s="54"/>
      <c r="B74" s="57"/>
      <c r="C74" s="58"/>
      <c r="D74" s="70"/>
      <c r="E74" s="70"/>
      <c r="F74" s="70"/>
      <c r="G74" s="326"/>
      <c r="H74" s="326"/>
      <c r="I74" s="52"/>
      <c r="J74" s="52"/>
      <c r="K74" s="52"/>
    </row>
    <row r="75" spans="1:11" s="53" customFormat="1" ht="15.75" x14ac:dyDescent="0.25">
      <c r="A75" s="54"/>
      <c r="B75" s="57"/>
      <c r="C75" s="58"/>
      <c r="D75" s="70"/>
      <c r="E75" s="70"/>
      <c r="F75" s="70"/>
      <c r="G75" s="326"/>
      <c r="H75" s="326"/>
      <c r="I75" s="52"/>
      <c r="J75" s="52"/>
      <c r="K75" s="52"/>
    </row>
    <row r="76" spans="1:11" s="9" customFormat="1" ht="76.5" x14ac:dyDescent="0.35">
      <c r="A76" s="164" t="s">
        <v>30</v>
      </c>
      <c r="B76" s="16"/>
      <c r="C76" s="108" t="s">
        <v>138</v>
      </c>
      <c r="D76" s="17" t="s">
        <v>405</v>
      </c>
      <c r="E76" s="17" t="s">
        <v>406</v>
      </c>
      <c r="F76" s="17" t="s">
        <v>407</v>
      </c>
      <c r="G76" s="322" t="s">
        <v>384</v>
      </c>
      <c r="H76" s="322" t="s">
        <v>385</v>
      </c>
      <c r="I76" s="18" t="s">
        <v>38</v>
      </c>
      <c r="J76" s="92" t="s">
        <v>112</v>
      </c>
      <c r="K76" s="17" t="s">
        <v>228</v>
      </c>
    </row>
    <row r="77" spans="1:11" ht="37.5" customHeight="1" x14ac:dyDescent="0.3">
      <c r="A77" s="294" t="s">
        <v>253</v>
      </c>
      <c r="B77" s="35"/>
      <c r="D77" s="374"/>
      <c r="E77" s="374"/>
      <c r="F77" s="79"/>
      <c r="G77" s="215"/>
      <c r="H77" s="215"/>
    </row>
    <row r="78" spans="1:11" x14ac:dyDescent="0.25">
      <c r="A78" s="46" t="s">
        <v>31</v>
      </c>
      <c r="B78" s="35"/>
      <c r="D78" s="207"/>
      <c r="E78" s="207">
        <v>500000</v>
      </c>
      <c r="F78" s="78">
        <f>E78</f>
        <v>500000</v>
      </c>
      <c r="G78" s="327">
        <v>0</v>
      </c>
      <c r="H78" s="327"/>
    </row>
    <row r="79" spans="1:11" x14ac:dyDescent="0.25">
      <c r="B79" s="35"/>
      <c r="D79" s="207"/>
      <c r="E79" s="25"/>
      <c r="F79" s="79"/>
      <c r="G79" s="215"/>
      <c r="H79" s="215"/>
    </row>
    <row r="80" spans="1:11" x14ac:dyDescent="0.25">
      <c r="B80" s="35"/>
      <c r="D80" s="320"/>
      <c r="E80" s="25"/>
      <c r="F80" s="79"/>
      <c r="G80" s="215"/>
      <c r="H80" s="215"/>
    </row>
    <row r="81" spans="1:11" x14ac:dyDescent="0.25">
      <c r="A81" s="6" t="s">
        <v>276</v>
      </c>
      <c r="B81" s="35"/>
      <c r="D81" s="207"/>
      <c r="E81" s="25"/>
      <c r="F81" s="79"/>
      <c r="G81" s="215"/>
      <c r="H81" s="215"/>
    </row>
    <row r="82" spans="1:11" x14ac:dyDescent="0.25">
      <c r="A82" s="210" t="s">
        <v>273</v>
      </c>
      <c r="B82" s="35"/>
      <c r="D82" s="207"/>
      <c r="E82" s="25"/>
      <c r="F82" s="79"/>
      <c r="G82" s="215"/>
      <c r="H82" s="215"/>
    </row>
    <row r="83" spans="1:11" x14ac:dyDescent="0.25">
      <c r="A83" s="43" t="s">
        <v>390</v>
      </c>
      <c r="B83" s="35"/>
      <c r="D83" s="207"/>
      <c r="E83" s="25">
        <v>104830</v>
      </c>
      <c r="F83" s="79"/>
      <c r="G83" s="215">
        <v>71938</v>
      </c>
      <c r="H83" s="79">
        <f>E83-G83</f>
        <v>32892</v>
      </c>
    </row>
    <row r="84" spans="1:11" ht="30" x14ac:dyDescent="0.25">
      <c r="A84" s="212" t="s">
        <v>281</v>
      </c>
      <c r="B84" s="35"/>
      <c r="D84" s="207"/>
      <c r="F84" s="79"/>
      <c r="G84" s="215"/>
      <c r="H84" s="79">
        <f t="shared" ref="H84:H107" si="2">E84-G84</f>
        <v>0</v>
      </c>
    </row>
    <row r="85" spans="1:11" x14ac:dyDescent="0.25">
      <c r="A85" s="43" t="s">
        <v>280</v>
      </c>
      <c r="B85" s="35"/>
      <c r="D85" s="207"/>
      <c r="E85" s="25">
        <v>1272750</v>
      </c>
      <c r="F85" s="79"/>
      <c r="G85" s="215">
        <v>0</v>
      </c>
      <c r="H85" s="79">
        <f t="shared" si="2"/>
        <v>1272750</v>
      </c>
    </row>
    <row r="86" spans="1:11" x14ac:dyDescent="0.25">
      <c r="A86" s="42" t="s">
        <v>283</v>
      </c>
      <c r="B86" s="35"/>
      <c r="D86" s="207"/>
      <c r="E86" s="25">
        <v>522195</v>
      </c>
      <c r="F86" s="79"/>
      <c r="G86" s="215">
        <v>0</v>
      </c>
      <c r="H86" s="79">
        <f t="shared" si="2"/>
        <v>522195</v>
      </c>
    </row>
    <row r="87" spans="1:11" ht="15.75" thickBot="1" x14ac:dyDescent="0.3">
      <c r="A87" s="224" t="s">
        <v>238</v>
      </c>
      <c r="B87" s="35"/>
      <c r="D87" s="207"/>
      <c r="E87" s="223">
        <v>192794.5</v>
      </c>
      <c r="F87" s="79"/>
      <c r="G87" s="215">
        <v>0</v>
      </c>
      <c r="H87" s="79">
        <f t="shared" si="2"/>
        <v>192794.5</v>
      </c>
      <c r="K87" s="3">
        <f>E87</f>
        <v>192794.5</v>
      </c>
    </row>
    <row r="88" spans="1:11" x14ac:dyDescent="0.25">
      <c r="A88" s="4"/>
      <c r="B88" s="35"/>
      <c r="D88" s="207"/>
      <c r="E88" s="69" t="s">
        <v>162</v>
      </c>
      <c r="F88" s="79">
        <f>SUM(E83:E87)</f>
        <v>2092569.5</v>
      </c>
      <c r="G88" s="215"/>
      <c r="H88" s="79" t="e">
        <f t="shared" si="2"/>
        <v>#VALUE!</v>
      </c>
    </row>
    <row r="89" spans="1:11" x14ac:dyDescent="0.25">
      <c r="A89" s="6" t="s">
        <v>282</v>
      </c>
      <c r="B89" s="35"/>
      <c r="D89" s="207"/>
      <c r="E89" s="25"/>
      <c r="F89" s="79"/>
      <c r="G89" s="215"/>
      <c r="H89" s="79">
        <f t="shared" si="2"/>
        <v>0</v>
      </c>
    </row>
    <row r="90" spans="1:11" ht="30" x14ac:dyDescent="0.25">
      <c r="A90" s="213" t="s">
        <v>25</v>
      </c>
      <c r="B90" s="35"/>
      <c r="D90" s="214">
        <v>9690000</v>
      </c>
      <c r="E90" s="25"/>
      <c r="F90" s="79"/>
      <c r="G90" s="215">
        <v>0</v>
      </c>
      <c r="H90" s="79">
        <f t="shared" si="2"/>
        <v>0</v>
      </c>
      <c r="I90" s="10" t="s">
        <v>37</v>
      </c>
    </row>
    <row r="91" spans="1:11" x14ac:dyDescent="0.25">
      <c r="A91" s="225" t="s">
        <v>237</v>
      </c>
      <c r="B91" s="35"/>
      <c r="D91" s="226">
        <f>0.15*D90</f>
        <v>1453500</v>
      </c>
      <c r="E91" s="25"/>
      <c r="F91" s="79"/>
      <c r="G91" s="215">
        <v>0</v>
      </c>
      <c r="H91" s="79">
        <f t="shared" si="2"/>
        <v>0</v>
      </c>
      <c r="K91" s="3">
        <f>D91</f>
        <v>1453500</v>
      </c>
    </row>
    <row r="92" spans="1:11" x14ac:dyDescent="0.25">
      <c r="B92" s="35"/>
      <c r="C92" s="22">
        <f>D91+D90</f>
        <v>11143500</v>
      </c>
      <c r="D92" s="207" t="s">
        <v>160</v>
      </c>
      <c r="E92" s="207"/>
      <c r="F92" s="78"/>
      <c r="G92" s="327"/>
      <c r="H92" s="79"/>
    </row>
    <row r="93" spans="1:11" x14ac:dyDescent="0.25">
      <c r="B93" s="35"/>
      <c r="D93" s="207"/>
      <c r="E93" s="25"/>
      <c r="F93" s="79"/>
      <c r="G93" s="215"/>
      <c r="H93" s="79"/>
    </row>
    <row r="94" spans="1:11" x14ac:dyDescent="0.25">
      <c r="A94" s="44" t="s">
        <v>278</v>
      </c>
      <c r="B94" s="35"/>
      <c r="D94" s="207"/>
      <c r="E94" s="25"/>
      <c r="F94" s="79"/>
      <c r="G94" s="215"/>
      <c r="H94" s="79"/>
    </row>
    <row r="95" spans="1:11" x14ac:dyDescent="0.25">
      <c r="A95" s="42" t="s">
        <v>6</v>
      </c>
      <c r="B95" s="35"/>
      <c r="D95" s="207"/>
      <c r="E95" s="25">
        <v>930031</v>
      </c>
      <c r="F95" s="79"/>
      <c r="G95" s="215">
        <v>0</v>
      </c>
      <c r="H95" s="79">
        <f t="shared" si="2"/>
        <v>930031</v>
      </c>
    </row>
    <row r="96" spans="1:11" x14ac:dyDescent="0.25">
      <c r="A96" s="216" t="s">
        <v>116</v>
      </c>
      <c r="B96" s="35"/>
      <c r="D96" s="207"/>
      <c r="E96" s="227">
        <f>0.15*E95</f>
        <v>139504.65</v>
      </c>
      <c r="F96" s="79"/>
      <c r="G96" s="215">
        <v>0</v>
      </c>
      <c r="H96" s="79">
        <f t="shared" si="2"/>
        <v>139504.65</v>
      </c>
      <c r="K96" s="3">
        <v>139505</v>
      </c>
    </row>
    <row r="97" spans="1:12" x14ac:dyDescent="0.25">
      <c r="A97" s="45" t="s">
        <v>20</v>
      </c>
      <c r="B97" s="35"/>
      <c r="D97" s="207"/>
      <c r="E97" s="25">
        <v>120000</v>
      </c>
      <c r="F97" s="79"/>
      <c r="G97" s="215">
        <v>0</v>
      </c>
      <c r="H97" s="79">
        <f t="shared" si="2"/>
        <v>120000</v>
      </c>
    </row>
    <row r="98" spans="1:12" x14ac:dyDescent="0.25">
      <c r="A98" s="45" t="s">
        <v>21</v>
      </c>
      <c r="B98" s="35"/>
      <c r="D98" s="207"/>
      <c r="E98" s="25">
        <v>93003</v>
      </c>
      <c r="F98" s="79"/>
      <c r="G98" s="215">
        <v>0</v>
      </c>
      <c r="H98" s="79">
        <f t="shared" si="2"/>
        <v>93003</v>
      </c>
    </row>
    <row r="99" spans="1:12" x14ac:dyDescent="0.25">
      <c r="A99" s="45" t="s">
        <v>22</v>
      </c>
      <c r="B99" s="35"/>
      <c r="D99" s="207"/>
      <c r="E99" s="25">
        <v>200000</v>
      </c>
      <c r="F99" s="79"/>
      <c r="G99" s="215">
        <v>0</v>
      </c>
      <c r="H99" s="79">
        <f t="shared" si="2"/>
        <v>200000</v>
      </c>
    </row>
    <row r="100" spans="1:12" x14ac:dyDescent="0.25">
      <c r="A100" s="45" t="s">
        <v>23</v>
      </c>
      <c r="B100" s="35"/>
      <c r="D100" s="207"/>
      <c r="E100" s="25">
        <v>300000</v>
      </c>
      <c r="F100" s="79"/>
      <c r="G100" s="215">
        <v>0</v>
      </c>
      <c r="H100" s="79">
        <f t="shared" si="2"/>
        <v>300000</v>
      </c>
    </row>
    <row r="101" spans="1:12" x14ac:dyDescent="0.25">
      <c r="A101" s="45" t="s">
        <v>24</v>
      </c>
      <c r="B101" s="35"/>
      <c r="D101" s="207"/>
      <c r="E101" s="25">
        <v>5000</v>
      </c>
      <c r="F101" s="79"/>
      <c r="G101" s="215">
        <v>0</v>
      </c>
      <c r="H101" s="79">
        <f t="shared" si="2"/>
        <v>5000</v>
      </c>
    </row>
    <row r="102" spans="1:12" x14ac:dyDescent="0.25">
      <c r="A102" s="45" t="s">
        <v>118</v>
      </c>
      <c r="B102" s="35"/>
      <c r="D102" s="207"/>
      <c r="E102" s="94">
        <v>0</v>
      </c>
      <c r="F102" s="100"/>
      <c r="G102" s="328">
        <v>0</v>
      </c>
      <c r="H102" s="79">
        <f t="shared" si="2"/>
        <v>0</v>
      </c>
    </row>
    <row r="103" spans="1:12" x14ac:dyDescent="0.25">
      <c r="A103" s="45" t="s">
        <v>119</v>
      </c>
      <c r="B103" s="35"/>
      <c r="D103" s="207"/>
      <c r="E103" s="94">
        <v>0</v>
      </c>
      <c r="F103" s="100"/>
      <c r="G103" s="328">
        <v>0</v>
      </c>
      <c r="H103" s="79">
        <f t="shared" si="2"/>
        <v>0</v>
      </c>
    </row>
    <row r="104" spans="1:12" x14ac:dyDescent="0.25">
      <c r="A104" s="93" t="s">
        <v>120</v>
      </c>
      <c r="B104" s="35"/>
      <c r="D104" s="207"/>
      <c r="E104" s="94">
        <v>0</v>
      </c>
      <c r="F104" s="100"/>
      <c r="G104" s="328">
        <v>0</v>
      </c>
      <c r="H104" s="79">
        <f t="shared" si="2"/>
        <v>0</v>
      </c>
    </row>
    <row r="105" spans="1:12" x14ac:dyDescent="0.25">
      <c r="A105" s="93" t="s">
        <v>121</v>
      </c>
      <c r="B105" s="35"/>
      <c r="D105" s="207"/>
      <c r="E105" s="94">
        <v>0</v>
      </c>
      <c r="F105" s="100"/>
      <c r="G105" s="328">
        <v>0</v>
      </c>
      <c r="H105" s="79">
        <f t="shared" si="2"/>
        <v>0</v>
      </c>
    </row>
    <row r="106" spans="1:12" x14ac:dyDescent="0.25">
      <c r="A106" s="93" t="s">
        <v>122</v>
      </c>
      <c r="B106" s="35"/>
      <c r="D106" s="207"/>
      <c r="E106" s="94">
        <v>0</v>
      </c>
      <c r="F106" s="100"/>
      <c r="G106" s="328">
        <v>0</v>
      </c>
      <c r="H106" s="79">
        <f t="shared" si="2"/>
        <v>0</v>
      </c>
    </row>
    <row r="107" spans="1:12" ht="15.75" thickBot="1" x14ac:dyDescent="0.3">
      <c r="A107" s="222" t="s">
        <v>239</v>
      </c>
      <c r="B107" s="35"/>
      <c r="D107" s="207"/>
      <c r="E107" s="223">
        <v>178754</v>
      </c>
      <c r="F107" s="79"/>
      <c r="G107" s="215">
        <v>0</v>
      </c>
      <c r="H107" s="79">
        <f t="shared" si="2"/>
        <v>178754</v>
      </c>
      <c r="K107" s="3">
        <f>E107</f>
        <v>178754</v>
      </c>
    </row>
    <row r="108" spans="1:12" x14ac:dyDescent="0.25">
      <c r="A108" s="7"/>
      <c r="B108" s="35"/>
      <c r="D108" s="207"/>
      <c r="E108" s="69" t="s">
        <v>162</v>
      </c>
      <c r="F108" s="79">
        <f>SUM(E95:E107)</f>
        <v>1966292.65</v>
      </c>
      <c r="G108" s="215"/>
      <c r="H108" s="215"/>
    </row>
    <row r="109" spans="1:12" x14ac:dyDescent="0.25">
      <c r="A109" s="6" t="s">
        <v>287</v>
      </c>
      <c r="B109" s="35"/>
      <c r="D109" s="207"/>
      <c r="E109" s="25"/>
      <c r="F109" s="79"/>
      <c r="G109" s="215"/>
      <c r="H109" s="215"/>
    </row>
    <row r="110" spans="1:12" x14ac:dyDescent="0.25">
      <c r="A110" s="45" t="s">
        <v>39</v>
      </c>
      <c r="B110" s="35"/>
      <c r="D110" s="207"/>
      <c r="E110" s="94" t="s">
        <v>159</v>
      </c>
      <c r="F110" s="100"/>
      <c r="G110" s="328"/>
      <c r="H110" s="328"/>
      <c r="I110" s="96" t="s">
        <v>48</v>
      </c>
      <c r="J110" s="96" t="s">
        <v>159</v>
      </c>
      <c r="L110" s="12" t="s">
        <v>383</v>
      </c>
    </row>
    <row r="111" spans="1:12" s="53" customFormat="1" ht="18.75" x14ac:dyDescent="0.3">
      <c r="A111" s="175" t="s">
        <v>86</v>
      </c>
      <c r="B111" s="182"/>
      <c r="C111" s="178">
        <f>SUM(C91:C110)</f>
        <v>11143500</v>
      </c>
      <c r="D111" s="183">
        <f>SUM(D78:D110)</f>
        <v>11143500</v>
      </c>
      <c r="E111" s="183">
        <f>SUM(E78:E110)</f>
        <v>4558862.1500000004</v>
      </c>
      <c r="F111" s="208">
        <f>SUM(F78:F110)</f>
        <v>4558862.1500000004</v>
      </c>
      <c r="G111" s="325"/>
      <c r="H111" s="325"/>
      <c r="I111" s="52"/>
      <c r="J111" s="52"/>
      <c r="K111" s="52"/>
      <c r="L111" s="52">
        <f>SUM(K78:K111)</f>
        <v>1964553.5</v>
      </c>
    </row>
    <row r="112" spans="1:12" ht="18.75" x14ac:dyDescent="0.3">
      <c r="A112" s="175" t="s">
        <v>80</v>
      </c>
      <c r="B112" s="184"/>
      <c r="C112" s="185"/>
      <c r="D112" s="379">
        <f>D111+E111</f>
        <v>15702362.15</v>
      </c>
      <c r="E112" s="379"/>
      <c r="F112" s="177"/>
      <c r="G112" s="325"/>
      <c r="H112" s="325"/>
      <c r="I112" s="11"/>
      <c r="J112" s="11"/>
    </row>
    <row r="113" spans="1:11" x14ac:dyDescent="0.25">
      <c r="A113" s="49"/>
      <c r="B113" s="21"/>
      <c r="D113" s="78"/>
      <c r="E113" s="78"/>
      <c r="F113" s="78"/>
      <c r="G113" s="327"/>
      <c r="H113" s="327"/>
      <c r="I113" s="11"/>
      <c r="J113" s="11"/>
    </row>
    <row r="114" spans="1:11" x14ac:dyDescent="0.25">
      <c r="B114" s="21"/>
      <c r="D114" s="78"/>
      <c r="E114" s="79"/>
      <c r="F114" s="79"/>
      <c r="G114" s="215"/>
      <c r="H114" s="215"/>
    </row>
    <row r="115" spans="1:11" ht="18.75" x14ac:dyDescent="0.3">
      <c r="A115" s="192" t="s">
        <v>290</v>
      </c>
      <c r="B115" s="21"/>
      <c r="C115" s="383"/>
      <c r="D115" s="383"/>
      <c r="E115" s="383"/>
      <c r="F115" s="383"/>
      <c r="G115" s="329"/>
      <c r="H115" s="329"/>
    </row>
    <row r="116" spans="1:11" x14ac:dyDescent="0.25">
      <c r="A116" s="6" t="s">
        <v>276</v>
      </c>
      <c r="B116" s="21"/>
      <c r="D116" s="78"/>
      <c r="E116" s="79"/>
      <c r="F116" s="79"/>
      <c r="G116" s="215"/>
      <c r="H116" s="215"/>
    </row>
    <row r="117" spans="1:11" x14ac:dyDescent="0.25">
      <c r="A117" s="210" t="s">
        <v>273</v>
      </c>
      <c r="B117" s="21"/>
      <c r="D117" s="78"/>
      <c r="E117" s="79"/>
      <c r="F117" s="79"/>
      <c r="G117" s="215"/>
      <c r="H117" s="215"/>
    </row>
    <row r="118" spans="1:11" ht="30" x14ac:dyDescent="0.25">
      <c r="A118" s="43" t="s">
        <v>272</v>
      </c>
      <c r="B118" s="21"/>
      <c r="D118" s="78"/>
      <c r="E118" s="79">
        <v>133000</v>
      </c>
      <c r="F118" s="79"/>
      <c r="G118" s="215"/>
      <c r="H118" s="215"/>
    </row>
    <row r="119" spans="1:11" ht="30" x14ac:dyDescent="0.25">
      <c r="A119" s="212" t="s">
        <v>284</v>
      </c>
      <c r="B119" s="21"/>
      <c r="D119" s="78"/>
      <c r="E119" s="79"/>
      <c r="F119" s="79"/>
      <c r="G119" s="215"/>
      <c r="H119" s="215"/>
    </row>
    <row r="120" spans="1:11" x14ac:dyDescent="0.25">
      <c r="A120" s="43" t="s">
        <v>280</v>
      </c>
      <c r="B120" s="21"/>
      <c r="D120" s="78"/>
      <c r="E120" s="79">
        <v>254550</v>
      </c>
      <c r="F120" s="79"/>
      <c r="G120" s="215"/>
      <c r="H120" s="215"/>
    </row>
    <row r="121" spans="1:11" x14ac:dyDescent="0.25">
      <c r="A121" s="42" t="s">
        <v>283</v>
      </c>
      <c r="B121" s="21"/>
      <c r="D121" s="78"/>
      <c r="E121" s="79">
        <v>104440</v>
      </c>
      <c r="F121" s="79"/>
      <c r="G121" s="215"/>
      <c r="H121" s="215"/>
    </row>
    <row r="122" spans="1:11" ht="15.75" thickBot="1" x14ac:dyDescent="0.3">
      <c r="A122" s="224" t="s">
        <v>238</v>
      </c>
      <c r="B122" s="21"/>
      <c r="D122" s="78"/>
      <c r="E122" s="228">
        <v>49199</v>
      </c>
      <c r="F122" s="79"/>
      <c r="G122" s="215"/>
      <c r="H122" s="215"/>
      <c r="K122" s="3">
        <v>49199</v>
      </c>
    </row>
    <row r="123" spans="1:11" x14ac:dyDescent="0.25">
      <c r="B123" s="21"/>
      <c r="D123" s="78"/>
      <c r="E123" s="79" t="s">
        <v>162</v>
      </c>
      <c r="F123" s="79">
        <f>SUM(E118:E122)</f>
        <v>541189</v>
      </c>
      <c r="G123" s="215"/>
      <c r="H123" s="215"/>
    </row>
    <row r="124" spans="1:11" x14ac:dyDescent="0.25">
      <c r="A124" s="88" t="s">
        <v>285</v>
      </c>
      <c r="B124" s="21"/>
      <c r="D124" s="78"/>
      <c r="E124" s="79"/>
      <c r="F124" s="79"/>
      <c r="G124" s="215"/>
      <c r="H124" s="215"/>
    </row>
    <row r="125" spans="1:11" x14ac:dyDescent="0.25">
      <c r="A125" t="s">
        <v>292</v>
      </c>
      <c r="B125" s="21"/>
      <c r="D125" s="78">
        <f>D90/4</f>
        <v>2422500</v>
      </c>
      <c r="E125" s="79"/>
      <c r="F125" s="79"/>
      <c r="G125" s="215"/>
      <c r="H125" s="215"/>
    </row>
    <row r="126" spans="1:11" x14ac:dyDescent="0.25">
      <c r="A126" s="230" t="s">
        <v>293</v>
      </c>
      <c r="B126" s="21"/>
      <c r="C126" s="231"/>
      <c r="D126" s="232">
        <f>D125*0.15</f>
        <v>363375</v>
      </c>
      <c r="E126" s="78"/>
      <c r="F126" s="79"/>
      <c r="G126" s="215"/>
      <c r="H126" s="215"/>
      <c r="K126" s="3">
        <f>D126</f>
        <v>363375</v>
      </c>
    </row>
    <row r="127" spans="1:11" x14ac:dyDescent="0.25">
      <c r="B127" s="21"/>
      <c r="C127" s="22">
        <f>SUM(D125:D126)</f>
        <v>2785875</v>
      </c>
      <c r="D127" s="209" t="s">
        <v>160</v>
      </c>
      <c r="E127" s="78"/>
      <c r="F127" s="79"/>
      <c r="G127" s="215"/>
      <c r="H127" s="215"/>
    </row>
    <row r="128" spans="1:11" x14ac:dyDescent="0.25">
      <c r="A128" s="88" t="s">
        <v>286</v>
      </c>
      <c r="B128" s="21"/>
      <c r="D128" s="78"/>
      <c r="E128" s="215"/>
      <c r="F128" s="79"/>
      <c r="G128" s="215"/>
      <c r="H128" s="215"/>
    </row>
    <row r="129" spans="1:11" x14ac:dyDescent="0.25">
      <c r="A129" t="s">
        <v>6</v>
      </c>
      <c r="B129" s="21"/>
      <c r="D129" s="78"/>
      <c r="E129" s="79">
        <f>E95/4</f>
        <v>232507.75</v>
      </c>
      <c r="F129" s="79"/>
      <c r="G129" s="215"/>
      <c r="H129" s="215"/>
    </row>
    <row r="130" spans="1:11" x14ac:dyDescent="0.25">
      <c r="A130" s="216" t="s">
        <v>116</v>
      </c>
      <c r="B130" s="21"/>
      <c r="D130" s="78"/>
      <c r="E130" s="229">
        <f>E129*0.15</f>
        <v>34876.162499999999</v>
      </c>
      <c r="F130" s="79"/>
      <c r="G130" s="215"/>
      <c r="H130" s="215"/>
      <c r="K130" s="3">
        <f>E130</f>
        <v>34876.162499999999</v>
      </c>
    </row>
    <row r="131" spans="1:11" x14ac:dyDescent="0.25">
      <c r="A131" t="s">
        <v>294</v>
      </c>
      <c r="B131" s="21"/>
      <c r="D131" s="78"/>
      <c r="E131" s="79">
        <f>(E97+E98+E99+E100+E101)/4</f>
        <v>179500.75</v>
      </c>
      <c r="F131" s="79"/>
      <c r="G131" s="215"/>
      <c r="H131" s="215"/>
    </row>
    <row r="132" spans="1:11" x14ac:dyDescent="0.25">
      <c r="A132" s="222" t="s">
        <v>295</v>
      </c>
      <c r="B132" s="21"/>
      <c r="D132" s="78"/>
      <c r="E132" s="229">
        <f>E131*0.1</f>
        <v>17950.075000000001</v>
      </c>
      <c r="F132" s="79"/>
      <c r="G132" s="215"/>
      <c r="H132" s="215"/>
      <c r="K132" s="3">
        <f>E132</f>
        <v>17950.075000000001</v>
      </c>
    </row>
    <row r="133" spans="1:11" x14ac:dyDescent="0.25">
      <c r="A133" s="233"/>
      <c r="B133" s="21"/>
      <c r="D133" s="78"/>
      <c r="E133" s="229"/>
      <c r="F133" s="79"/>
      <c r="G133" s="215"/>
      <c r="H133" s="215"/>
    </row>
    <row r="134" spans="1:11" x14ac:dyDescent="0.25">
      <c r="A134" s="210" t="s">
        <v>287</v>
      </c>
      <c r="B134" s="35"/>
      <c r="D134" s="78"/>
      <c r="E134" s="79"/>
      <c r="F134" s="79">
        <f>SUM(E129:E132)</f>
        <v>464834.73749999999</v>
      </c>
      <c r="G134" s="215"/>
      <c r="H134" s="215"/>
    </row>
    <row r="135" spans="1:11" x14ac:dyDescent="0.25">
      <c r="A135" s="45" t="s">
        <v>39</v>
      </c>
      <c r="B135" s="35"/>
      <c r="D135" s="78"/>
      <c r="E135" s="100" t="s">
        <v>159</v>
      </c>
      <c r="F135" s="100"/>
      <c r="G135" s="328"/>
      <c r="H135" s="328"/>
      <c r="I135" s="96" t="s">
        <v>48</v>
      </c>
      <c r="J135" s="96" t="s">
        <v>159</v>
      </c>
    </row>
    <row r="136" spans="1:11" ht="18.75" x14ac:dyDescent="0.3">
      <c r="A136" s="175" t="s">
        <v>288</v>
      </c>
      <c r="B136" s="182"/>
      <c r="C136" s="178">
        <f>SUM(C126:C135)</f>
        <v>2785875</v>
      </c>
      <c r="D136" s="208">
        <f>SUM(D125:D135)</f>
        <v>2785875</v>
      </c>
      <c r="E136" s="208">
        <f>E118+E119+E120+E121+E122+E129+E130+E131+E132</f>
        <v>1006023.7374999999</v>
      </c>
      <c r="F136" s="208">
        <f>SUM(F123:F135)</f>
        <v>1006023.7375</v>
      </c>
      <c r="G136" s="325"/>
      <c r="H136" s="325"/>
      <c r="I136" s="52"/>
      <c r="J136" s="52"/>
    </row>
    <row r="137" spans="1:11" ht="18.75" x14ac:dyDescent="0.3">
      <c r="A137" s="175" t="s">
        <v>289</v>
      </c>
      <c r="B137" s="184"/>
      <c r="C137" s="185"/>
      <c r="D137" s="379">
        <f>D136+E136</f>
        <v>3791898.7374999998</v>
      </c>
      <c r="E137" s="379"/>
      <c r="F137" s="177"/>
      <c r="G137" s="325"/>
      <c r="H137" s="325"/>
      <c r="I137" s="11"/>
      <c r="J137" s="11"/>
    </row>
    <row r="138" spans="1:11" x14ac:dyDescent="0.25">
      <c r="B138" s="21"/>
      <c r="D138" s="78"/>
      <c r="E138" s="79"/>
      <c r="F138" s="79"/>
      <c r="G138" s="215"/>
      <c r="H138" s="215"/>
    </row>
    <row r="139" spans="1:11" x14ac:dyDescent="0.25">
      <c r="B139" s="21"/>
      <c r="D139" s="78"/>
      <c r="E139" s="79"/>
      <c r="F139" s="79"/>
      <c r="G139" s="215"/>
      <c r="H139" s="215"/>
    </row>
    <row r="140" spans="1:11" x14ac:dyDescent="0.25">
      <c r="B140" s="21"/>
      <c r="D140" s="78"/>
      <c r="E140" s="79"/>
      <c r="F140" s="79"/>
      <c r="G140" s="215"/>
      <c r="H140" s="215"/>
    </row>
    <row r="141" spans="1:11" x14ac:dyDescent="0.25">
      <c r="B141" s="21"/>
      <c r="D141" s="78"/>
      <c r="E141" s="79"/>
      <c r="F141" s="79"/>
      <c r="G141" s="215"/>
      <c r="H141" s="215"/>
    </row>
    <row r="142" spans="1:11" x14ac:dyDescent="0.25">
      <c r="B142" s="21"/>
      <c r="D142" s="78"/>
      <c r="E142" s="79"/>
      <c r="F142" s="79"/>
      <c r="G142" s="215"/>
      <c r="H142" s="215"/>
    </row>
    <row r="143" spans="1:11" x14ac:dyDescent="0.25">
      <c r="B143" s="21"/>
      <c r="D143" s="78"/>
      <c r="E143" s="79"/>
      <c r="F143" s="79"/>
      <c r="G143" s="215"/>
      <c r="H143" s="215"/>
    </row>
    <row r="144" spans="1:11" x14ac:dyDescent="0.25">
      <c r="B144" s="21"/>
      <c r="D144" s="78"/>
      <c r="E144" s="79"/>
      <c r="F144" s="79"/>
      <c r="G144" s="215"/>
      <c r="H144" s="215"/>
    </row>
    <row r="145" spans="1:11" x14ac:dyDescent="0.25">
      <c r="B145" s="21"/>
      <c r="D145" s="78"/>
      <c r="E145" s="79"/>
      <c r="F145" s="79"/>
      <c r="G145" s="215"/>
      <c r="H145" s="215"/>
    </row>
    <row r="146" spans="1:11" x14ac:dyDescent="0.25">
      <c r="B146" s="21"/>
      <c r="D146" s="78"/>
      <c r="E146" s="79"/>
      <c r="F146" s="79"/>
      <c r="G146" s="215"/>
      <c r="H146" s="215"/>
    </row>
    <row r="147" spans="1:11" x14ac:dyDescent="0.25">
      <c r="B147" s="21"/>
      <c r="D147" s="78"/>
      <c r="E147" s="79"/>
      <c r="F147" s="79"/>
      <c r="G147" s="215"/>
      <c r="H147" s="215"/>
    </row>
    <row r="148" spans="1:11" x14ac:dyDescent="0.25">
      <c r="B148" s="21"/>
      <c r="D148" s="78"/>
      <c r="E148" s="79"/>
      <c r="F148" s="79"/>
      <c r="G148" s="215"/>
      <c r="H148" s="215"/>
    </row>
    <row r="149" spans="1:11" x14ac:dyDescent="0.25">
      <c r="B149" s="21"/>
      <c r="D149" s="78"/>
      <c r="E149" s="79"/>
      <c r="F149" s="79"/>
      <c r="G149" s="215"/>
      <c r="H149" s="215"/>
    </row>
    <row r="150" spans="1:11" x14ac:dyDescent="0.25">
      <c r="B150" s="21"/>
      <c r="D150" s="78"/>
      <c r="E150" s="79"/>
      <c r="F150" s="79"/>
      <c r="G150" s="215"/>
      <c r="H150" s="215"/>
    </row>
    <row r="151" spans="1:11" x14ac:dyDescent="0.25">
      <c r="B151" s="21"/>
      <c r="D151" s="78"/>
      <c r="E151" s="79"/>
      <c r="F151" s="79"/>
      <c r="G151" s="215"/>
      <c r="H151" s="215"/>
    </row>
    <row r="152" spans="1:11" x14ac:dyDescent="0.25">
      <c r="B152" s="21"/>
      <c r="D152" s="78"/>
      <c r="E152" s="79"/>
      <c r="F152" s="79"/>
      <c r="G152" s="215"/>
      <c r="H152" s="215"/>
    </row>
    <row r="153" spans="1:11" s="9" customFormat="1" ht="76.5" x14ac:dyDescent="0.35">
      <c r="A153" s="164" t="s">
        <v>30</v>
      </c>
      <c r="B153" s="16"/>
      <c r="C153" s="108" t="s">
        <v>138</v>
      </c>
      <c r="D153" s="17" t="s">
        <v>405</v>
      </c>
      <c r="E153" s="17" t="s">
        <v>406</v>
      </c>
      <c r="F153" s="17" t="s">
        <v>407</v>
      </c>
      <c r="G153" s="322" t="s">
        <v>384</v>
      </c>
      <c r="H153" s="322" t="s">
        <v>385</v>
      </c>
      <c r="I153" s="18" t="s">
        <v>38</v>
      </c>
      <c r="J153" s="92" t="s">
        <v>112</v>
      </c>
      <c r="K153" s="17" t="s">
        <v>228</v>
      </c>
    </row>
    <row r="154" spans="1:11" ht="36.75" customHeight="1" x14ac:dyDescent="0.3">
      <c r="A154" s="294" t="s">
        <v>357</v>
      </c>
      <c r="B154" s="35"/>
      <c r="D154" s="375"/>
      <c r="E154" s="376"/>
      <c r="F154" s="79"/>
      <c r="G154" s="215"/>
      <c r="H154" s="215"/>
    </row>
    <row r="155" spans="1:11" x14ac:dyDescent="0.25">
      <c r="A155" s="42" t="s">
        <v>3</v>
      </c>
      <c r="B155" s="35"/>
      <c r="E155" s="68">
        <v>277957</v>
      </c>
      <c r="F155" s="78">
        <f>E155</f>
        <v>277957</v>
      </c>
      <c r="G155" s="327"/>
      <c r="H155" s="327"/>
      <c r="I155" s="50" t="s">
        <v>201</v>
      </c>
    </row>
    <row r="156" spans="1:11" x14ac:dyDescent="0.25">
      <c r="A156" s="4"/>
      <c r="B156" s="35"/>
      <c r="D156" s="207"/>
      <c r="E156" s="25"/>
      <c r="F156" s="79"/>
      <c r="G156" s="215"/>
      <c r="H156" s="215"/>
    </row>
    <row r="157" spans="1:11" x14ac:dyDescent="0.25">
      <c r="A157" s="6" t="s">
        <v>26</v>
      </c>
      <c r="B157" s="35"/>
      <c r="D157" s="207"/>
      <c r="E157" s="25"/>
      <c r="F157" s="79"/>
      <c r="G157" s="215"/>
      <c r="H157" s="215"/>
    </row>
    <row r="158" spans="1:11" x14ac:dyDescent="0.25">
      <c r="A158" s="42" t="s">
        <v>207</v>
      </c>
      <c r="B158" s="35"/>
      <c r="D158" s="207"/>
      <c r="E158" s="25">
        <v>30000</v>
      </c>
      <c r="F158" s="79">
        <f>E158</f>
        <v>30000</v>
      </c>
      <c r="G158" s="215"/>
      <c r="H158" s="215"/>
    </row>
    <row r="159" spans="1:11" x14ac:dyDescent="0.25">
      <c r="A159" s="4"/>
      <c r="B159" s="35"/>
      <c r="D159" s="207"/>
      <c r="E159" s="25"/>
      <c r="F159" s="79"/>
      <c r="G159" s="215"/>
      <c r="H159" s="215"/>
    </row>
    <row r="160" spans="1:11" x14ac:dyDescent="0.25">
      <c r="A160" s="6" t="s">
        <v>33</v>
      </c>
      <c r="B160" s="35"/>
      <c r="D160" s="207"/>
      <c r="E160" s="25"/>
      <c r="F160" s="79"/>
      <c r="G160" s="215"/>
      <c r="H160" s="215"/>
    </row>
    <row r="161" spans="1:11" ht="30" x14ac:dyDescent="0.25">
      <c r="A161" s="42" t="s">
        <v>367</v>
      </c>
      <c r="B161" s="35"/>
      <c r="C161" s="116" t="s">
        <v>366</v>
      </c>
      <c r="D161" s="72">
        <v>168267</v>
      </c>
      <c r="E161" s="25"/>
      <c r="F161" s="79"/>
      <c r="G161" s="215"/>
      <c r="H161" s="215"/>
      <c r="I161" s="50" t="s">
        <v>202</v>
      </c>
    </row>
    <row r="162" spans="1:11" x14ac:dyDescent="0.25">
      <c r="A162" s="216" t="s">
        <v>217</v>
      </c>
      <c r="B162" s="35"/>
      <c r="D162" s="226">
        <f>0.15*D161</f>
        <v>25240.05</v>
      </c>
      <c r="E162" s="165"/>
      <c r="F162" s="79"/>
      <c r="G162" s="215"/>
      <c r="H162" s="215"/>
      <c r="K162" s="3">
        <f>D162</f>
        <v>25240.05</v>
      </c>
    </row>
    <row r="163" spans="1:11" x14ac:dyDescent="0.25">
      <c r="A163" s="42" t="s">
        <v>203</v>
      </c>
      <c r="B163" s="35"/>
      <c r="D163" s="68">
        <v>568</v>
      </c>
      <c r="E163" s="25"/>
      <c r="F163" s="79"/>
      <c r="G163" s="215"/>
      <c r="H163" s="215"/>
    </row>
    <row r="164" spans="1:11" x14ac:dyDescent="0.25">
      <c r="A164" s="42" t="s">
        <v>8</v>
      </c>
      <c r="B164" s="35"/>
      <c r="D164" s="207">
        <v>3000</v>
      </c>
      <c r="E164" s="25"/>
      <c r="F164" s="79"/>
      <c r="G164" s="215"/>
      <c r="H164" s="215"/>
    </row>
    <row r="165" spans="1:11" x14ac:dyDescent="0.25">
      <c r="A165" s="42" t="s">
        <v>359</v>
      </c>
      <c r="B165" s="35"/>
      <c r="D165" s="72">
        <v>19154</v>
      </c>
      <c r="E165" s="25"/>
      <c r="F165" s="79"/>
      <c r="G165" s="215"/>
      <c r="H165" s="215"/>
    </row>
    <row r="166" spans="1:11" x14ac:dyDescent="0.25">
      <c r="A166" s="42" t="s">
        <v>358</v>
      </c>
      <c r="B166" s="35"/>
      <c r="D166" s="235">
        <v>0</v>
      </c>
      <c r="E166" s="25"/>
      <c r="F166" s="79"/>
      <c r="G166" s="215"/>
      <c r="H166" s="215"/>
    </row>
    <row r="167" spans="1:11" ht="15.75" thickBot="1" x14ac:dyDescent="0.3">
      <c r="A167" s="299" t="s">
        <v>368</v>
      </c>
      <c r="B167" s="35"/>
      <c r="D167" s="129">
        <v>79629</v>
      </c>
      <c r="E167" s="25"/>
      <c r="F167" s="79"/>
      <c r="G167" s="215"/>
      <c r="H167" s="215"/>
    </row>
    <row r="168" spans="1:11" x14ac:dyDescent="0.25">
      <c r="A168" s="4"/>
      <c r="B168" s="35"/>
      <c r="C168" s="22">
        <f>SUM(D161:D167)</f>
        <v>295858.05</v>
      </c>
      <c r="D168" s="68" t="s">
        <v>164</v>
      </c>
      <c r="E168" s="25"/>
      <c r="F168" s="79"/>
      <c r="G168" s="215"/>
      <c r="H168" s="215"/>
    </row>
    <row r="169" spans="1:11" x14ac:dyDescent="0.25">
      <c r="A169" s="6" t="s">
        <v>28</v>
      </c>
      <c r="B169" s="35"/>
      <c r="D169" s="207"/>
      <c r="E169" s="25"/>
      <c r="F169" s="79"/>
      <c r="G169" s="215"/>
      <c r="H169" s="215"/>
    </row>
    <row r="170" spans="1:11" x14ac:dyDescent="0.25">
      <c r="A170" s="42" t="s">
        <v>5</v>
      </c>
      <c r="B170" s="35"/>
      <c r="D170" s="207"/>
      <c r="E170" s="25">
        <v>8500</v>
      </c>
      <c r="F170" s="79"/>
      <c r="G170" s="215"/>
      <c r="H170" s="215"/>
    </row>
    <row r="171" spans="1:11" x14ac:dyDescent="0.25">
      <c r="A171" s="42" t="s">
        <v>6</v>
      </c>
      <c r="B171" s="35"/>
      <c r="D171" s="207"/>
      <c r="E171" s="25">
        <v>34753</v>
      </c>
      <c r="F171" s="79"/>
      <c r="G171" s="215"/>
      <c r="H171" s="215"/>
    </row>
    <row r="172" spans="1:11" x14ac:dyDescent="0.25">
      <c r="A172" s="42" t="s">
        <v>206</v>
      </c>
      <c r="B172" s="35"/>
      <c r="D172" s="207"/>
      <c r="E172" s="25">
        <v>24906</v>
      </c>
      <c r="F172" s="79"/>
      <c r="G172" s="215"/>
      <c r="H172" s="215"/>
    </row>
    <row r="173" spans="1:11" ht="15.75" thickBot="1" x14ac:dyDescent="0.3">
      <c r="A173" s="42" t="s">
        <v>205</v>
      </c>
      <c r="B173" s="35"/>
      <c r="D173" s="207"/>
      <c r="E173" s="131">
        <v>40000</v>
      </c>
      <c r="F173" s="79"/>
      <c r="G173" s="215"/>
      <c r="H173" s="215"/>
    </row>
    <row r="174" spans="1:11" x14ac:dyDescent="0.25">
      <c r="B174" s="35"/>
      <c r="D174" s="207"/>
      <c r="E174" s="68" t="s">
        <v>162</v>
      </c>
      <c r="F174" s="78">
        <f>SUM(E170:E173)</f>
        <v>108159</v>
      </c>
      <c r="G174" s="327"/>
      <c r="H174" s="327"/>
    </row>
    <row r="175" spans="1:11" x14ac:dyDescent="0.25">
      <c r="B175" s="35"/>
      <c r="D175" s="207"/>
      <c r="E175" s="25"/>
      <c r="F175" s="79"/>
      <c r="G175" s="215"/>
      <c r="H175" s="215"/>
    </row>
    <row r="176" spans="1:11" x14ac:dyDescent="0.25">
      <c r="A176" s="157" t="s">
        <v>262</v>
      </c>
      <c r="B176" s="35"/>
      <c r="D176" s="207"/>
      <c r="E176" s="25"/>
      <c r="F176" s="79"/>
      <c r="G176" s="215"/>
      <c r="H176" s="215"/>
    </row>
    <row r="177" spans="1:11" x14ac:dyDescent="0.25">
      <c r="A177" s="158" t="s">
        <v>400</v>
      </c>
      <c r="B177" s="35"/>
      <c r="D177" s="207"/>
      <c r="E177" s="25">
        <f>630*48</f>
        <v>30240</v>
      </c>
      <c r="F177" s="159" t="s">
        <v>211</v>
      </c>
      <c r="G177" s="330"/>
      <c r="H177" s="330"/>
    </row>
    <row r="178" spans="1:11" x14ac:dyDescent="0.25">
      <c r="A178" t="s">
        <v>401</v>
      </c>
      <c r="B178" s="35"/>
      <c r="D178" s="207"/>
      <c r="E178" s="25">
        <f>550*48</f>
        <v>26400</v>
      </c>
      <c r="F178" s="159" t="s">
        <v>212</v>
      </c>
      <c r="G178" s="330"/>
      <c r="H178" s="330"/>
      <c r="I178" s="145"/>
    </row>
    <row r="179" spans="1:11" x14ac:dyDescent="0.25">
      <c r="A179" t="s">
        <v>402</v>
      </c>
      <c r="B179" s="35"/>
      <c r="D179" s="207"/>
      <c r="E179" s="25">
        <f>192*48</f>
        <v>9216</v>
      </c>
      <c r="F179" s="79" t="s">
        <v>213</v>
      </c>
      <c r="G179" s="215"/>
      <c r="H179" s="215"/>
    </row>
    <row r="180" spans="1:11" x14ac:dyDescent="0.25">
      <c r="A180" t="s">
        <v>403</v>
      </c>
      <c r="B180" s="35"/>
      <c r="D180" s="207"/>
      <c r="E180" s="25">
        <f>630*48</f>
        <v>30240</v>
      </c>
      <c r="F180" s="79"/>
      <c r="G180" s="215"/>
      <c r="H180" s="215"/>
      <c r="I180" s="145"/>
    </row>
    <row r="181" spans="1:11" x14ac:dyDescent="0.25">
      <c r="A181" s="230" t="s">
        <v>214</v>
      </c>
      <c r="B181" s="35"/>
      <c r="D181" s="207"/>
      <c r="E181" s="234">
        <f>0.1385*(E177+E178+E179+E180)</f>
        <v>13309.296</v>
      </c>
      <c r="F181" s="79"/>
      <c r="G181" s="215"/>
      <c r="H181" s="215"/>
      <c r="I181" s="145"/>
      <c r="K181" s="3">
        <f>E181</f>
        <v>13309.296</v>
      </c>
    </row>
    <row r="182" spans="1:11" x14ac:dyDescent="0.25">
      <c r="A182" t="s">
        <v>404</v>
      </c>
      <c r="B182" s="35"/>
      <c r="D182" s="207"/>
      <c r="E182" s="25">
        <f>12*3862.5</f>
        <v>46350</v>
      </c>
      <c r="F182" s="79"/>
      <c r="G182" s="215"/>
      <c r="H182" s="215"/>
      <c r="I182" s="12"/>
    </row>
    <row r="183" spans="1:11" ht="15.75" thickBot="1" x14ac:dyDescent="0.3">
      <c r="A183" s="230" t="s">
        <v>216</v>
      </c>
      <c r="B183" s="35"/>
      <c r="D183" s="207"/>
      <c r="E183" s="223">
        <f>0.1385*E182</f>
        <v>6419.4750000000004</v>
      </c>
      <c r="F183" s="79"/>
      <c r="G183" s="215"/>
      <c r="H183" s="215"/>
      <c r="I183" s="12"/>
      <c r="K183" s="3">
        <f>E183</f>
        <v>6419.4750000000004</v>
      </c>
    </row>
    <row r="184" spans="1:11" x14ac:dyDescent="0.25">
      <c r="D184" s="207"/>
      <c r="E184" s="69" t="s">
        <v>162</v>
      </c>
      <c r="F184" s="3">
        <f>SUM(E177:E182)</f>
        <v>155755.296</v>
      </c>
      <c r="I184" s="193"/>
    </row>
    <row r="185" spans="1:11" ht="18.75" x14ac:dyDescent="0.3">
      <c r="A185" s="175" t="s">
        <v>157</v>
      </c>
      <c r="B185" s="182"/>
      <c r="C185" s="178">
        <f>C168</f>
        <v>295858.05</v>
      </c>
      <c r="D185" s="183">
        <f>SUM(D155:D182)</f>
        <v>295858.05</v>
      </c>
      <c r="E185" s="191">
        <f>SUM(E155:E182)</f>
        <v>571871.29599999997</v>
      </c>
      <c r="F185" s="208">
        <f>SUM(F155:F184)</f>
        <v>571871.29599999997</v>
      </c>
      <c r="G185" s="325"/>
      <c r="H185" s="325"/>
      <c r="I185" s="194"/>
    </row>
    <row r="186" spans="1:11" ht="18.75" x14ac:dyDescent="0.3">
      <c r="A186" s="175" t="s">
        <v>158</v>
      </c>
      <c r="B186" s="184"/>
      <c r="C186" s="185"/>
      <c r="D186" s="379">
        <f>D185+E185</f>
        <v>867729.3459999999</v>
      </c>
      <c r="E186" s="379"/>
      <c r="F186" s="177"/>
      <c r="G186" s="325"/>
      <c r="H186" s="325"/>
    </row>
    <row r="187" spans="1:11" s="57" customFormat="1" ht="15.75" x14ac:dyDescent="0.25">
      <c r="G187" s="331"/>
      <c r="H187" s="331"/>
      <c r="I187" s="59"/>
      <c r="J187" s="58"/>
      <c r="K187" s="58"/>
    </row>
    <row r="188" spans="1:11" s="57" customFormat="1" ht="15.75" x14ac:dyDescent="0.25">
      <c r="G188" s="331"/>
      <c r="H188" s="331"/>
      <c r="I188" s="59"/>
      <c r="J188" s="58"/>
      <c r="K188" s="58"/>
    </row>
    <row r="190" spans="1:11" x14ac:dyDescent="0.25">
      <c r="B190" s="21"/>
      <c r="D190" s="78"/>
      <c r="E190" s="79"/>
      <c r="F190" s="79"/>
      <c r="G190" s="215"/>
      <c r="H190" s="215"/>
    </row>
    <row r="191" spans="1:11" ht="42" customHeight="1" x14ac:dyDescent="0.3">
      <c r="A191" s="295" t="s">
        <v>360</v>
      </c>
      <c r="B191" s="35"/>
      <c r="D191" s="375"/>
      <c r="E191" s="376"/>
      <c r="F191" s="79"/>
      <c r="G191" s="215"/>
      <c r="H191" s="215"/>
    </row>
    <row r="192" spans="1:11" ht="0.95" customHeight="1" x14ac:dyDescent="0.25">
      <c r="A192" s="14"/>
      <c r="B192" s="35"/>
      <c r="D192" s="207"/>
      <c r="E192" s="38">
        <f>340000*4</f>
        <v>1360000</v>
      </c>
      <c r="F192" s="102"/>
      <c r="G192" s="332"/>
      <c r="H192" s="332"/>
      <c r="I192" s="2" t="s">
        <v>42</v>
      </c>
      <c r="J192" s="3">
        <v>340000</v>
      </c>
    </row>
    <row r="193" spans="1:11" ht="30" x14ac:dyDescent="0.25">
      <c r="A193" t="s">
        <v>44</v>
      </c>
      <c r="B193" s="35"/>
      <c r="D193" s="207"/>
      <c r="E193" s="38">
        <v>1360000</v>
      </c>
      <c r="F193" s="102"/>
      <c r="G193" s="332"/>
      <c r="H193" s="332"/>
      <c r="I193" s="2" t="s">
        <v>242</v>
      </c>
      <c r="J193" s="3">
        <v>340000</v>
      </c>
    </row>
    <row r="194" spans="1:11" x14ac:dyDescent="0.25">
      <c r="A194" t="s">
        <v>241</v>
      </c>
      <c r="B194" s="35"/>
      <c r="D194" s="207"/>
      <c r="E194" s="38" t="s">
        <v>159</v>
      </c>
      <c r="F194" s="102"/>
      <c r="G194" s="332"/>
      <c r="H194" s="332"/>
      <c r="I194" s="2"/>
    </row>
    <row r="195" spans="1:11" x14ac:dyDescent="0.25">
      <c r="A195" t="s">
        <v>243</v>
      </c>
      <c r="B195" s="35"/>
      <c r="D195" s="207"/>
      <c r="E195" s="38" t="s">
        <v>159</v>
      </c>
      <c r="F195" s="102"/>
      <c r="G195" s="332"/>
      <c r="H195" s="332"/>
      <c r="I195" s="2"/>
    </row>
    <row r="196" spans="1:11" s="9" customFormat="1" ht="60.75" hidden="1" x14ac:dyDescent="0.3">
      <c r="A196" s="15" t="s">
        <v>0</v>
      </c>
      <c r="B196" s="16"/>
      <c r="C196" s="108" t="s">
        <v>138</v>
      </c>
      <c r="D196" s="17" t="s">
        <v>77</v>
      </c>
      <c r="E196" s="17" t="s">
        <v>78</v>
      </c>
      <c r="F196" s="17" t="s">
        <v>139</v>
      </c>
      <c r="G196" s="322"/>
      <c r="H196" s="322"/>
      <c r="I196" s="18" t="s">
        <v>38</v>
      </c>
      <c r="J196" s="92" t="s">
        <v>112</v>
      </c>
      <c r="K196" s="17" t="s">
        <v>140</v>
      </c>
    </row>
    <row r="197" spans="1:11" s="53" customFormat="1" ht="18.75" x14ac:dyDescent="0.3">
      <c r="A197" s="147" t="s">
        <v>81</v>
      </c>
      <c r="B197" s="182"/>
      <c r="C197" s="110"/>
      <c r="D197" s="183">
        <f>SUM(D193)</f>
        <v>0</v>
      </c>
      <c r="E197" s="183">
        <f>SUM(E193)</f>
        <v>1360000</v>
      </c>
      <c r="F197" s="70"/>
      <c r="G197" s="326"/>
      <c r="H197" s="326"/>
      <c r="I197" s="66"/>
      <c r="J197" s="52"/>
      <c r="K197" s="52"/>
    </row>
    <row r="198" spans="1:11" x14ac:dyDescent="0.25">
      <c r="B198" s="21"/>
      <c r="D198" s="78"/>
      <c r="E198" s="79"/>
      <c r="F198" s="103"/>
      <c r="G198" s="333"/>
      <c r="H198" s="333"/>
    </row>
    <row r="199" spans="1:11" x14ac:dyDescent="0.25">
      <c r="B199" s="21"/>
      <c r="D199" s="78"/>
      <c r="E199" s="79"/>
      <c r="F199" s="103"/>
      <c r="G199" s="333"/>
      <c r="H199" s="333"/>
    </row>
    <row r="200" spans="1:11" ht="37.5" x14ac:dyDescent="0.3">
      <c r="A200" s="295" t="s">
        <v>291</v>
      </c>
      <c r="B200" s="35"/>
      <c r="D200" s="374"/>
      <c r="E200" s="374"/>
      <c r="F200" s="103"/>
      <c r="G200" s="333"/>
      <c r="H200" s="333"/>
    </row>
    <row r="201" spans="1:11" s="21" customFormat="1" x14ac:dyDescent="0.25">
      <c r="A201" s="23" t="s">
        <v>45</v>
      </c>
      <c r="B201" s="35"/>
      <c r="C201" s="22"/>
      <c r="D201" s="39"/>
      <c r="E201" s="40">
        <v>1400000</v>
      </c>
      <c r="F201" s="103"/>
      <c r="G201" s="333"/>
      <c r="H201" s="333"/>
      <c r="I201" s="22" t="s">
        <v>245</v>
      </c>
      <c r="J201" s="22">
        <v>350000</v>
      </c>
      <c r="K201" s="22"/>
    </row>
    <row r="202" spans="1:11" s="21" customFormat="1" x14ac:dyDescent="0.25">
      <c r="A202" s="23" t="s">
        <v>243</v>
      </c>
      <c r="B202" s="35"/>
      <c r="C202" s="22"/>
      <c r="D202" s="195"/>
      <c r="E202" s="196" t="s">
        <v>159</v>
      </c>
      <c r="F202" s="103"/>
      <c r="G202" s="333"/>
      <c r="H202" s="333"/>
      <c r="I202" s="22"/>
      <c r="J202" s="22"/>
      <c r="K202" s="22"/>
    </row>
    <row r="203" spans="1:11" s="57" customFormat="1" ht="18.75" x14ac:dyDescent="0.3">
      <c r="A203" s="199" t="s">
        <v>82</v>
      </c>
      <c r="B203" s="182"/>
      <c r="C203" s="110"/>
      <c r="D203" s="208">
        <f>SUM(D201)</f>
        <v>0</v>
      </c>
      <c r="E203" s="208">
        <f t="shared" ref="E203" si="3">SUM(E201)</f>
        <v>1400000</v>
      </c>
      <c r="F203" s="70"/>
      <c r="G203" s="326"/>
      <c r="H203" s="326"/>
      <c r="I203" s="58"/>
      <c r="J203" s="58"/>
      <c r="K203" s="58"/>
    </row>
    <row r="204" spans="1:11" x14ac:dyDescent="0.25">
      <c r="B204" s="21"/>
      <c r="D204" s="78"/>
      <c r="E204" s="79"/>
      <c r="F204" s="103"/>
      <c r="G204" s="333"/>
      <c r="H204" s="333"/>
    </row>
    <row r="205" spans="1:11" x14ac:dyDescent="0.25">
      <c r="B205" s="21"/>
      <c r="D205" s="78"/>
      <c r="E205" s="79"/>
      <c r="F205" s="103"/>
      <c r="G205" s="333"/>
      <c r="H205" s="333"/>
    </row>
    <row r="206" spans="1:11" ht="18.75" x14ac:dyDescent="0.3">
      <c r="A206" s="295" t="s">
        <v>355</v>
      </c>
      <c r="B206" s="35"/>
      <c r="D206" s="374"/>
      <c r="E206" s="374"/>
      <c r="F206" s="103"/>
      <c r="G206" s="333"/>
      <c r="H206" s="333"/>
    </row>
    <row r="207" spans="1:11" s="21" customFormat="1" x14ac:dyDescent="0.25">
      <c r="A207" s="23" t="s">
        <v>356</v>
      </c>
      <c r="B207" s="35"/>
      <c r="C207" s="22"/>
      <c r="D207" s="39"/>
      <c r="E207" s="40"/>
      <c r="F207" s="103"/>
      <c r="G207" s="333"/>
      <c r="H207" s="333"/>
      <c r="I207" s="382" t="s">
        <v>376</v>
      </c>
      <c r="J207" s="382"/>
      <c r="K207" s="382"/>
    </row>
    <row r="208" spans="1:11" s="21" customFormat="1" x14ac:dyDescent="0.25">
      <c r="A208" s="23" t="s">
        <v>375</v>
      </c>
      <c r="B208" s="35"/>
      <c r="C208" s="22"/>
      <c r="D208" s="195"/>
      <c r="E208" s="196">
        <f>240000*4</f>
        <v>960000</v>
      </c>
      <c r="F208" s="103"/>
      <c r="G208" s="333"/>
      <c r="H208" s="333"/>
      <c r="I208" s="382"/>
      <c r="J208" s="382"/>
      <c r="K208" s="382"/>
    </row>
    <row r="209" spans="1:11" s="57" customFormat="1" ht="18.75" x14ac:dyDescent="0.3">
      <c r="A209" s="199" t="s">
        <v>82</v>
      </c>
      <c r="B209" s="182"/>
      <c r="C209" s="110"/>
      <c r="D209" s="236">
        <f>SUM(D207)</f>
        <v>0</v>
      </c>
      <c r="E209" s="236">
        <f>SUM(E208)</f>
        <v>960000</v>
      </c>
      <c r="F209" s="70"/>
      <c r="G209" s="326"/>
      <c r="H209" s="326"/>
      <c r="I209" s="58"/>
      <c r="J209" s="58"/>
      <c r="K209" s="58"/>
    </row>
    <row r="210" spans="1:11" x14ac:dyDescent="0.25">
      <c r="B210" s="21"/>
      <c r="D210" s="78"/>
      <c r="E210" s="79"/>
      <c r="F210" s="103"/>
      <c r="G210" s="333"/>
      <c r="H210" s="333"/>
    </row>
    <row r="211" spans="1:11" x14ac:dyDescent="0.25">
      <c r="B211" s="21"/>
      <c r="D211" s="78"/>
      <c r="E211" s="79"/>
      <c r="F211" s="103"/>
      <c r="G211" s="333"/>
      <c r="H211" s="333"/>
    </row>
    <row r="212" spans="1:11" ht="18.75" x14ac:dyDescent="0.3">
      <c r="A212" s="192" t="s">
        <v>354</v>
      </c>
      <c r="B212" s="35"/>
      <c r="D212" s="377"/>
      <c r="E212" s="378"/>
      <c r="F212" s="103"/>
      <c r="G212" s="333"/>
      <c r="H212" s="333"/>
    </row>
    <row r="213" spans="1:11" x14ac:dyDescent="0.25">
      <c r="A213" t="s">
        <v>41</v>
      </c>
      <c r="B213" s="35"/>
      <c r="D213" s="68"/>
      <c r="E213" s="69">
        <v>1300000</v>
      </c>
      <c r="F213" s="103"/>
      <c r="G213" s="333"/>
      <c r="H213" s="333"/>
    </row>
    <row r="214" spans="1:11" x14ac:dyDescent="0.25">
      <c r="A214" t="s">
        <v>45</v>
      </c>
      <c r="B214" s="35"/>
      <c r="D214" s="207"/>
      <c r="E214" s="95" t="s">
        <v>159</v>
      </c>
      <c r="F214" s="197"/>
      <c r="G214" s="334"/>
      <c r="H214" s="334"/>
      <c r="I214" s="97" t="s">
        <v>159</v>
      </c>
      <c r="J214" s="96">
        <v>0</v>
      </c>
    </row>
    <row r="215" spans="1:11" s="53" customFormat="1" ht="18.75" x14ac:dyDescent="0.3">
      <c r="A215" s="147" t="s">
        <v>83</v>
      </c>
      <c r="B215" s="182"/>
      <c r="C215" s="110"/>
      <c r="D215" s="183">
        <f>SUM(D213:D214)</f>
        <v>0</v>
      </c>
      <c r="E215" s="183">
        <f>SUM(E213:E214)</f>
        <v>1300000</v>
      </c>
      <c r="F215" s="70"/>
      <c r="G215" s="326"/>
      <c r="H215" s="326"/>
      <c r="I215" s="66"/>
      <c r="J215" s="52"/>
      <c r="K215" s="52"/>
    </row>
    <row r="216" spans="1:11" s="57" customFormat="1" ht="18.75" x14ac:dyDescent="0.3">
      <c r="A216" s="356"/>
      <c r="B216" s="357"/>
      <c r="C216" s="110"/>
      <c r="D216" s="358"/>
      <c r="E216" s="358"/>
      <c r="F216" s="70"/>
      <c r="G216" s="326"/>
      <c r="H216" s="326"/>
      <c r="I216" s="286"/>
      <c r="J216" s="58"/>
      <c r="K216" s="58"/>
    </row>
    <row r="217" spans="1:11" s="57" customFormat="1" ht="18.75" x14ac:dyDescent="0.3">
      <c r="A217" s="356"/>
      <c r="B217" s="357"/>
      <c r="C217" s="110"/>
      <c r="D217" s="358"/>
      <c r="E217" s="358"/>
      <c r="F217" s="70"/>
      <c r="G217" s="326"/>
      <c r="H217" s="326"/>
      <c r="I217" s="286"/>
      <c r="J217" s="58"/>
      <c r="K217" s="58"/>
    </row>
    <row r="218" spans="1:11" s="57" customFormat="1" ht="18.75" x14ac:dyDescent="0.3">
      <c r="A218" s="356"/>
      <c r="B218" s="357"/>
      <c r="C218" s="110"/>
      <c r="D218" s="358"/>
      <c r="E218" s="358"/>
      <c r="F218" s="70"/>
      <c r="G218" s="326"/>
      <c r="H218" s="326"/>
      <c r="I218" s="286"/>
      <c r="J218" s="58"/>
      <c r="K218" s="58"/>
    </row>
    <row r="219" spans="1:11" s="57" customFormat="1" ht="18.75" x14ac:dyDescent="0.3">
      <c r="A219" s="356"/>
      <c r="B219" s="357"/>
      <c r="C219" s="110"/>
      <c r="D219" s="358"/>
      <c r="E219" s="358"/>
      <c r="F219" s="70"/>
      <c r="G219" s="326"/>
      <c r="H219" s="326"/>
      <c r="I219" s="286"/>
      <c r="J219" s="58"/>
      <c r="K219" s="58"/>
    </row>
    <row r="220" spans="1:11" s="57" customFormat="1" ht="18.75" x14ac:dyDescent="0.3">
      <c r="A220" s="356"/>
      <c r="B220" s="357"/>
      <c r="C220" s="110"/>
      <c r="D220" s="358"/>
      <c r="E220" s="358"/>
      <c r="F220" s="70"/>
      <c r="G220" s="326"/>
      <c r="H220" s="326"/>
      <c r="I220" s="286"/>
      <c r="J220" s="58"/>
      <c r="K220" s="58"/>
    </row>
    <row r="221" spans="1:11" s="57" customFormat="1" ht="18.75" x14ac:dyDescent="0.3">
      <c r="A221" s="356"/>
      <c r="B221" s="357"/>
      <c r="C221" s="110"/>
      <c r="D221" s="358"/>
      <c r="E221" s="358"/>
      <c r="F221" s="70"/>
      <c r="G221" s="326"/>
      <c r="H221" s="326"/>
      <c r="I221" s="286"/>
      <c r="J221" s="58"/>
      <c r="K221" s="58"/>
    </row>
    <row r="222" spans="1:11" s="57" customFormat="1" ht="18.75" x14ac:dyDescent="0.3">
      <c r="A222" s="356"/>
      <c r="B222" s="357"/>
      <c r="C222" s="110"/>
      <c r="D222" s="358"/>
      <c r="E222" s="358"/>
      <c r="F222" s="70"/>
      <c r="G222" s="326"/>
      <c r="H222" s="326"/>
      <c r="I222" s="286"/>
      <c r="J222" s="58"/>
      <c r="K222" s="58"/>
    </row>
    <row r="223" spans="1:11" s="57" customFormat="1" ht="18.75" x14ac:dyDescent="0.3">
      <c r="A223" s="356"/>
      <c r="B223" s="357"/>
      <c r="C223" s="110"/>
      <c r="D223" s="358"/>
      <c r="E223" s="358"/>
      <c r="F223" s="70"/>
      <c r="G223" s="326"/>
      <c r="H223" s="326"/>
      <c r="I223" s="286"/>
      <c r="J223" s="58"/>
      <c r="K223" s="58"/>
    </row>
    <row r="224" spans="1:11" s="57" customFormat="1" ht="18.75" x14ac:dyDescent="0.3">
      <c r="A224" s="356"/>
      <c r="B224" s="357"/>
      <c r="C224" s="110"/>
      <c r="D224" s="358"/>
      <c r="E224" s="358"/>
      <c r="F224" s="70"/>
      <c r="G224" s="326"/>
      <c r="H224" s="326"/>
      <c r="I224" s="286"/>
      <c r="J224" s="58"/>
      <c r="K224" s="58"/>
    </row>
    <row r="225" spans="1:12" s="57" customFormat="1" ht="18.75" x14ac:dyDescent="0.3">
      <c r="A225" s="356"/>
      <c r="B225" s="357"/>
      <c r="C225" s="110"/>
      <c r="D225" s="358"/>
      <c r="E225" s="358"/>
      <c r="F225" s="70"/>
      <c r="G225" s="326"/>
      <c r="H225" s="326"/>
      <c r="I225" s="286"/>
      <c r="J225" s="58"/>
      <c r="K225" s="58"/>
    </row>
    <row r="226" spans="1:12" s="9" customFormat="1" ht="76.5" x14ac:dyDescent="0.35">
      <c r="A226" s="164" t="s">
        <v>30</v>
      </c>
      <c r="B226" s="16"/>
      <c r="C226" s="108" t="s">
        <v>138</v>
      </c>
      <c r="D226" s="17" t="s">
        <v>405</v>
      </c>
      <c r="E226" s="17" t="s">
        <v>406</v>
      </c>
      <c r="F226" s="17" t="s">
        <v>407</v>
      </c>
      <c r="G226" s="322" t="s">
        <v>384</v>
      </c>
      <c r="H226" s="322" t="s">
        <v>385</v>
      </c>
      <c r="I226" s="18" t="s">
        <v>38</v>
      </c>
      <c r="J226" s="92" t="s">
        <v>112</v>
      </c>
      <c r="K226" s="17" t="s">
        <v>228</v>
      </c>
    </row>
    <row r="227" spans="1:12" ht="37.5" x14ac:dyDescent="0.3">
      <c r="A227" s="295" t="s">
        <v>371</v>
      </c>
      <c r="B227" s="35"/>
      <c r="D227" s="375"/>
      <c r="E227" s="376"/>
      <c r="F227" s="103"/>
      <c r="G227" s="333"/>
      <c r="H227" s="333"/>
    </row>
    <row r="228" spans="1:12" x14ac:dyDescent="0.25">
      <c r="A228" s="14"/>
      <c r="B228" s="35"/>
      <c r="D228" s="207"/>
      <c r="E228" s="25"/>
      <c r="F228" s="103"/>
      <c r="G228" s="333"/>
      <c r="H228" s="333"/>
    </row>
    <row r="229" spans="1:12" ht="18.75" customHeight="1" x14ac:dyDescent="0.25">
      <c r="A229" t="s">
        <v>45</v>
      </c>
      <c r="B229" s="35"/>
      <c r="D229" s="207" t="s">
        <v>50</v>
      </c>
      <c r="E229" s="38">
        <f>4*260000</f>
        <v>1040000</v>
      </c>
      <c r="F229" s="198"/>
      <c r="G229" s="335"/>
      <c r="H229" s="335"/>
      <c r="I229" s="3" t="s">
        <v>244</v>
      </c>
      <c r="J229" s="3">
        <v>260000</v>
      </c>
    </row>
    <row r="230" spans="1:12" x14ac:dyDescent="0.25">
      <c r="A230" t="s">
        <v>243</v>
      </c>
      <c r="B230" s="35"/>
      <c r="D230" s="207"/>
      <c r="E230" s="200" t="s">
        <v>159</v>
      </c>
      <c r="F230" s="198"/>
      <c r="G230" s="335"/>
      <c r="H230" s="335"/>
      <c r="I230" s="2"/>
    </row>
    <row r="231" spans="1:12" s="53" customFormat="1" ht="18.75" x14ac:dyDescent="0.3">
      <c r="A231" s="147" t="s">
        <v>84</v>
      </c>
      <c r="B231" s="182"/>
      <c r="C231" s="110"/>
      <c r="D231" s="208">
        <f>SUM(D229)</f>
        <v>0</v>
      </c>
      <c r="E231" s="208">
        <f t="shared" ref="E231" si="4">SUM(E229)</f>
        <v>1040000</v>
      </c>
      <c r="F231" s="70"/>
      <c r="G231" s="326"/>
      <c r="H231" s="326"/>
      <c r="I231" s="52"/>
      <c r="J231" s="52"/>
      <c r="K231" s="52"/>
    </row>
    <row r="232" spans="1:12" s="307" customFormat="1" ht="18.75" x14ac:dyDescent="0.3">
      <c r="A232" s="301"/>
      <c r="B232" s="302"/>
      <c r="C232" s="303"/>
      <c r="D232" s="304"/>
      <c r="E232" s="304"/>
      <c r="F232" s="305"/>
      <c r="G232" s="336"/>
      <c r="H232" s="336"/>
      <c r="I232" s="306"/>
      <c r="J232" s="306"/>
      <c r="K232" s="306"/>
    </row>
    <row r="233" spans="1:12" s="308" customFormat="1" ht="18.75" x14ac:dyDescent="0.3">
      <c r="A233" s="308" t="s">
        <v>372</v>
      </c>
      <c r="B233" s="309"/>
      <c r="C233" s="310"/>
      <c r="D233" s="311"/>
      <c r="E233" s="311">
        <v>700000</v>
      </c>
      <c r="F233" s="312"/>
      <c r="G233" s="337"/>
      <c r="H233" s="337"/>
      <c r="I233" s="313"/>
      <c r="J233" s="313"/>
      <c r="K233" s="313"/>
    </row>
    <row r="234" spans="1:12" s="307" customFormat="1" ht="18.75" x14ac:dyDescent="0.3">
      <c r="A234" s="301"/>
      <c r="B234" s="302"/>
      <c r="C234" s="303"/>
      <c r="D234" s="304"/>
      <c r="E234" s="304"/>
      <c r="F234" s="305"/>
      <c r="G234" s="336"/>
      <c r="H234" s="336"/>
      <c r="I234" s="306"/>
      <c r="J234" s="306"/>
      <c r="K234" s="306"/>
    </row>
    <row r="235" spans="1:12" s="319" customFormat="1" ht="18.75" x14ac:dyDescent="0.3">
      <c r="A235" s="314" t="s">
        <v>373</v>
      </c>
      <c r="B235" s="314"/>
      <c r="C235" s="315"/>
      <c r="D235" s="316"/>
      <c r="E235" s="311">
        <v>13000</v>
      </c>
      <c r="F235" s="317"/>
      <c r="G235" s="338"/>
      <c r="H235" s="338"/>
      <c r="I235" s="318"/>
      <c r="J235" s="318"/>
      <c r="K235" s="318"/>
    </row>
    <row r="236" spans="1:12" s="307" customFormat="1" ht="18.75" x14ac:dyDescent="0.3">
      <c r="A236" s="301"/>
      <c r="B236" s="302"/>
      <c r="C236" s="303"/>
      <c r="D236" s="304"/>
      <c r="E236" s="304"/>
      <c r="F236" s="305"/>
      <c r="G236" s="336"/>
      <c r="H236" s="336"/>
      <c r="I236" s="306"/>
      <c r="J236" s="306"/>
      <c r="K236" s="306"/>
    </row>
    <row r="237" spans="1:12" s="9" customFormat="1" x14ac:dyDescent="0.25">
      <c r="B237" s="36"/>
      <c r="C237" s="109"/>
      <c r="D237" s="10"/>
      <c r="E237" s="11"/>
      <c r="F237" s="11"/>
      <c r="G237" s="339"/>
      <c r="H237" s="339"/>
      <c r="I237" s="11"/>
      <c r="J237" s="11"/>
      <c r="K237" s="11"/>
    </row>
    <row r="238" spans="1:12" s="9" customFormat="1" x14ac:dyDescent="0.25">
      <c r="B238" s="36"/>
      <c r="C238" s="109"/>
      <c r="D238" s="10"/>
      <c r="E238" s="11"/>
      <c r="F238" s="11"/>
      <c r="G238" s="339"/>
      <c r="H238" s="339"/>
      <c r="I238" s="11"/>
      <c r="J238" s="11"/>
      <c r="K238" s="11"/>
    </row>
    <row r="239" spans="1:12" s="27" customFormat="1" ht="19.5" thickBot="1" x14ac:dyDescent="0.35">
      <c r="A239" s="147" t="s">
        <v>374</v>
      </c>
      <c r="B239" s="37"/>
      <c r="C239" s="110"/>
      <c r="D239" s="148">
        <f>D57+D111+D136+D185+D197+D203+D215+D231</f>
        <v>16704463.050000001</v>
      </c>
      <c r="E239" s="148">
        <f>E57+E111+E136+E185+E197+E203+E215+E231+E233+E235+E209</f>
        <v>17500209.333500002</v>
      </c>
      <c r="F239" s="28"/>
      <c r="G239" s="340"/>
      <c r="H239" s="340"/>
      <c r="I239" s="29"/>
      <c r="J239" s="178">
        <f>SUM(J4:J237)</f>
        <v>1790000</v>
      </c>
      <c r="K239" s="178">
        <f>SUM(K4:K237)</f>
        <v>2965286.5585000003</v>
      </c>
    </row>
    <row r="240" spans="1:12" ht="15" customHeight="1" x14ac:dyDescent="0.25">
      <c r="B240" s="35"/>
      <c r="I240" s="359" t="s">
        <v>369</v>
      </c>
      <c r="J240" s="363"/>
      <c r="K240" s="363"/>
      <c r="L240" s="361"/>
    </row>
    <row r="241" spans="1:16" ht="37.5" customHeight="1" thickBot="1" x14ac:dyDescent="0.35">
      <c r="A241" s="86" t="s">
        <v>88</v>
      </c>
      <c r="B241" s="35"/>
      <c r="E241" s="85">
        <f>SUM(D239:E239)</f>
        <v>34204672.383500002</v>
      </c>
      <c r="F241" s="30"/>
      <c r="G241" s="341"/>
      <c r="H241" s="341"/>
      <c r="I241" s="362"/>
      <c r="J241" s="363"/>
      <c r="K241" s="363"/>
      <c r="L241" s="364"/>
      <c r="M241" s="127"/>
    </row>
    <row r="242" spans="1:16" ht="15" customHeight="1" thickTop="1" x14ac:dyDescent="0.25">
      <c r="I242" s="362"/>
      <c r="J242" s="363"/>
      <c r="K242" s="363"/>
      <c r="L242" s="364"/>
      <c r="M242" s="127"/>
    </row>
    <row r="243" spans="1:16" ht="15" customHeight="1" x14ac:dyDescent="0.25">
      <c r="I243" s="362"/>
      <c r="J243" s="363"/>
      <c r="K243" s="363"/>
      <c r="L243" s="364"/>
      <c r="M243" s="127"/>
    </row>
    <row r="244" spans="1:16" ht="15" customHeight="1" thickBot="1" x14ac:dyDescent="0.3">
      <c r="I244" s="365"/>
      <c r="J244" s="366"/>
      <c r="K244" s="366"/>
      <c r="L244" s="367"/>
      <c r="M244" s="127"/>
    </row>
    <row r="245" spans="1:16" ht="15.75" x14ac:dyDescent="0.25">
      <c r="A245" s="48"/>
      <c r="B245" s="143"/>
      <c r="C245" s="134"/>
      <c r="D245" s="135"/>
      <c r="I245" s="156"/>
      <c r="J245" s="156"/>
      <c r="K245" s="156"/>
      <c r="L245" s="156"/>
      <c r="M245" s="127"/>
    </row>
    <row r="246" spans="1:16" ht="18.75" x14ac:dyDescent="0.3">
      <c r="A246" s="152" t="s">
        <v>76</v>
      </c>
      <c r="B246" s="253" t="s">
        <v>314</v>
      </c>
      <c r="C246" s="153"/>
      <c r="D246" s="154"/>
      <c r="F246" s="29"/>
      <c r="G246" s="342"/>
      <c r="H246" s="342"/>
      <c r="I246" s="156"/>
      <c r="J246" s="156"/>
      <c r="K246" s="156"/>
      <c r="L246" s="156"/>
      <c r="M246" s="127"/>
    </row>
    <row r="247" spans="1:16" s="139" customFormat="1" ht="18.75" x14ac:dyDescent="0.3">
      <c r="A247" s="53" t="s">
        <v>173</v>
      </c>
      <c r="B247" s="255">
        <v>161578</v>
      </c>
      <c r="C247" s="136"/>
      <c r="D247" s="2"/>
      <c r="E247" s="3"/>
      <c r="F247" s="29">
        <f>A251+B255</f>
        <v>31389</v>
      </c>
      <c r="G247" s="342"/>
      <c r="H247" s="342"/>
      <c r="I247" s="156"/>
      <c r="J247" s="156"/>
      <c r="K247" s="156"/>
      <c r="L247" s="156"/>
      <c r="M247" s="138"/>
    </row>
    <row r="248" spans="1:16" s="139" customFormat="1" ht="18.75" x14ac:dyDescent="0.3">
      <c r="A248" s="53" t="s">
        <v>180</v>
      </c>
      <c r="B248" s="244">
        <f>13011+10282+27299+14177</f>
        <v>64769</v>
      </c>
      <c r="C248" s="136"/>
      <c r="D248" s="2"/>
      <c r="E248" s="141"/>
      <c r="F248" s="29">
        <f>K273-F247</f>
        <v>0</v>
      </c>
      <c r="G248" s="342"/>
      <c r="H248" s="342"/>
      <c r="I248" s="156"/>
      <c r="J248" s="156"/>
      <c r="K248" s="156"/>
      <c r="L248" s="156"/>
      <c r="M248" s="138"/>
    </row>
    <row r="249" spans="1:16" s="139" customFormat="1" ht="18.75" x14ac:dyDescent="0.3">
      <c r="A249" s="256">
        <v>13011</v>
      </c>
      <c r="B249" s="137"/>
      <c r="C249" s="141" t="s">
        <v>300</v>
      </c>
      <c r="D249" s="2"/>
      <c r="F249" s="29"/>
      <c r="G249" s="342"/>
      <c r="H249" s="342"/>
      <c r="I249" s="156"/>
      <c r="J249" s="156"/>
      <c r="K249" s="156"/>
      <c r="L249" s="156"/>
      <c r="M249" s="138"/>
    </row>
    <row r="250" spans="1:16" s="139" customFormat="1" ht="18.75" x14ac:dyDescent="0.3">
      <c r="A250" s="256">
        <v>10282</v>
      </c>
      <c r="B250" s="137"/>
      <c r="C250" s="141" t="s">
        <v>300</v>
      </c>
      <c r="D250" s="2"/>
      <c r="F250" s="29"/>
      <c r="G250" s="342"/>
      <c r="H250" s="342"/>
      <c r="I250" s="156"/>
      <c r="J250" s="156"/>
      <c r="K250" s="156"/>
      <c r="L250" s="156"/>
      <c r="M250" s="138"/>
    </row>
    <row r="251" spans="1:16" s="139" customFormat="1" ht="18.75" x14ac:dyDescent="0.3">
      <c r="A251" s="259">
        <f>27042+257</f>
        <v>27299</v>
      </c>
      <c r="B251" s="137"/>
      <c r="C251" s="141" t="s">
        <v>299</v>
      </c>
      <c r="D251" s="2"/>
      <c r="F251" s="29"/>
      <c r="G251" s="342"/>
      <c r="H251" s="342"/>
      <c r="I251" s="156"/>
      <c r="J251" s="156"/>
      <c r="K251" s="156"/>
      <c r="L251" s="156"/>
      <c r="M251" s="138"/>
    </row>
    <row r="252" spans="1:16" s="139" customFormat="1" ht="18.75" x14ac:dyDescent="0.3">
      <c r="A252" s="257">
        <v>14177</v>
      </c>
      <c r="B252" s="137"/>
      <c r="C252" s="141" t="s">
        <v>315</v>
      </c>
      <c r="D252" s="2"/>
      <c r="F252" s="29"/>
      <c r="G252" s="342"/>
      <c r="H252" s="342"/>
      <c r="I252" s="140"/>
      <c r="J252" s="247" t="s">
        <v>298</v>
      </c>
      <c r="K252" s="246" t="s">
        <v>301</v>
      </c>
      <c r="L252" s="246" t="s">
        <v>302</v>
      </c>
      <c r="M252" s="138"/>
      <c r="N252" s="139" t="s">
        <v>303</v>
      </c>
      <c r="P252" s="139" t="s">
        <v>305</v>
      </c>
    </row>
    <row r="253" spans="1:16" s="139" customFormat="1" ht="18.75" x14ac:dyDescent="0.3">
      <c r="A253" s="245">
        <f>SUM(A249:A252)</f>
        <v>64769</v>
      </c>
      <c r="B253" s="137"/>
      <c r="C253" s="136"/>
      <c r="D253" s="2"/>
      <c r="E253" s="137">
        <f>SUM(B247+A249+A250+A252)</f>
        <v>199048</v>
      </c>
      <c r="F253" s="29"/>
      <c r="G253" s="342"/>
      <c r="H253" s="342"/>
      <c r="I253" s="140"/>
      <c r="J253" s="258">
        <v>1440</v>
      </c>
      <c r="K253" s="266">
        <v>7063</v>
      </c>
      <c r="L253" s="267">
        <v>50</v>
      </c>
      <c r="M253" s="138"/>
      <c r="N253" s="270">
        <v>1052</v>
      </c>
      <c r="P253" s="265">
        <v>2986</v>
      </c>
    </row>
    <row r="254" spans="1:16" ht="18.75" x14ac:dyDescent="0.3">
      <c r="A254" s="53" t="s">
        <v>181</v>
      </c>
      <c r="B254" s="137"/>
      <c r="C254" s="136"/>
      <c r="E254" s="137"/>
      <c r="F254" s="29"/>
      <c r="G254" s="342"/>
      <c r="H254" s="342"/>
      <c r="J254" s="258">
        <v>400</v>
      </c>
      <c r="K254" s="263">
        <v>1875</v>
      </c>
      <c r="L254" s="266">
        <v>25</v>
      </c>
      <c r="P254" s="264">
        <v>2221</v>
      </c>
    </row>
    <row r="255" spans="1:16" ht="18.75" x14ac:dyDescent="0.3">
      <c r="A255" s="142" t="s">
        <v>317</v>
      </c>
      <c r="B255" s="260">
        <f>J253+J254+J255+J256</f>
        <v>4090</v>
      </c>
      <c r="C255" s="136"/>
      <c r="E255" s="137"/>
      <c r="F255" s="29"/>
      <c r="G255" s="342"/>
      <c r="H255" s="342"/>
      <c r="J255" s="258">
        <v>1560</v>
      </c>
      <c r="K255" s="262">
        <f>SUM(K253:K254)</f>
        <v>8938</v>
      </c>
      <c r="L255" s="269">
        <v>46</v>
      </c>
      <c r="P255" s="265">
        <v>5384</v>
      </c>
    </row>
    <row r="256" spans="1:16" ht="18.75" x14ac:dyDescent="0.3">
      <c r="A256" s="142" t="s">
        <v>318</v>
      </c>
      <c r="B256" s="261">
        <f>J268-B255</f>
        <v>11604</v>
      </c>
      <c r="C256" s="136"/>
      <c r="E256" s="137"/>
      <c r="F256" s="29"/>
      <c r="G256" s="342"/>
      <c r="H256" s="342"/>
      <c r="J256" s="258">
        <v>690</v>
      </c>
      <c r="K256" s="250"/>
      <c r="L256" s="88"/>
      <c r="P256" s="139"/>
    </row>
    <row r="257" spans="1:16" ht="32.25" x14ac:dyDescent="0.3">
      <c r="A257" s="201" t="s">
        <v>370</v>
      </c>
      <c r="B257" s="261">
        <v>-3390</v>
      </c>
      <c r="C257" s="136"/>
      <c r="E257" s="137"/>
      <c r="F257" s="29"/>
      <c r="G257" s="342"/>
      <c r="H257" s="342"/>
      <c r="J257" s="258"/>
      <c r="K257" s="250"/>
      <c r="L257" s="88"/>
      <c r="P257" s="139"/>
    </row>
    <row r="258" spans="1:16" ht="18.75" x14ac:dyDescent="0.3">
      <c r="A258" s="142" t="s">
        <v>183</v>
      </c>
      <c r="B258" s="261">
        <v>8938</v>
      </c>
      <c r="C258" s="136"/>
      <c r="E258" s="137"/>
      <c r="F258" s="29"/>
      <c r="G258" s="342"/>
      <c r="H258" s="342"/>
      <c r="L258" s="269">
        <v>77</v>
      </c>
      <c r="P258" s="272">
        <v>1133</v>
      </c>
    </row>
    <row r="259" spans="1:16" ht="18.75" x14ac:dyDescent="0.3">
      <c r="A259" s="53" t="s">
        <v>184</v>
      </c>
      <c r="B259" s="137"/>
      <c r="C259" s="136"/>
      <c r="E259" s="137"/>
      <c r="F259" s="29"/>
      <c r="G259" s="342"/>
      <c r="H259" s="342"/>
      <c r="J259" s="262">
        <v>1740</v>
      </c>
      <c r="L259" s="271">
        <v>66</v>
      </c>
      <c r="N259" t="s">
        <v>306</v>
      </c>
      <c r="P259" s="264">
        <f>SUM(P253:P258)</f>
        <v>11724</v>
      </c>
    </row>
    <row r="260" spans="1:16" ht="18.75" x14ac:dyDescent="0.3">
      <c r="A260" s="142" t="s">
        <v>185</v>
      </c>
      <c r="B260" s="137"/>
      <c r="C260" s="136"/>
      <c r="E260" s="141"/>
      <c r="F260" s="29"/>
      <c r="G260" s="342"/>
      <c r="H260" s="342"/>
      <c r="J260" s="262">
        <v>540</v>
      </c>
      <c r="K260" s="3" t="s">
        <v>192</v>
      </c>
      <c r="L260" s="269">
        <f>SUM(L253:L259)</f>
        <v>264</v>
      </c>
      <c r="N260" s="249">
        <v>1760</v>
      </c>
    </row>
    <row r="261" spans="1:16" ht="19.5" thickBot="1" x14ac:dyDescent="0.35">
      <c r="A261" s="142" t="s">
        <v>310</v>
      </c>
      <c r="B261" s="261">
        <v>11724</v>
      </c>
      <c r="C261" s="136"/>
      <c r="E261" s="137"/>
      <c r="F261" s="202"/>
      <c r="G261" s="343"/>
      <c r="H261" s="343"/>
      <c r="J261" s="262">
        <v>2700</v>
      </c>
      <c r="K261" s="262">
        <v>1214</v>
      </c>
    </row>
    <row r="262" spans="1:16" ht="18.75" x14ac:dyDescent="0.3">
      <c r="A262" s="142"/>
      <c r="B262" s="137"/>
      <c r="C262" s="136"/>
      <c r="E262" s="137"/>
      <c r="F262" s="29"/>
      <c r="G262" s="342"/>
      <c r="H262" s="342"/>
      <c r="J262" s="262">
        <v>1800</v>
      </c>
      <c r="K262" s="263">
        <v>8</v>
      </c>
      <c r="L262" s="88"/>
      <c r="N262" t="s">
        <v>304</v>
      </c>
    </row>
    <row r="263" spans="1:16" ht="18.75" x14ac:dyDescent="0.3">
      <c r="A263" s="201"/>
      <c r="B263" s="136"/>
      <c r="C263" s="136"/>
      <c r="E263" s="141"/>
      <c r="F263" s="29"/>
      <c r="G263" s="342"/>
      <c r="H263" s="342"/>
      <c r="J263" s="262">
        <v>1320</v>
      </c>
      <c r="K263" s="262">
        <f>SUM(K261:K262)</f>
        <v>1222</v>
      </c>
      <c r="L263" s="88"/>
      <c r="N263" s="249">
        <v>1460</v>
      </c>
      <c r="P263" s="248"/>
    </row>
    <row r="264" spans="1:16" ht="18.75" x14ac:dyDescent="0.3">
      <c r="A264" s="142" t="s">
        <v>187</v>
      </c>
      <c r="B264" s="244">
        <v>0</v>
      </c>
      <c r="C264" s="136"/>
      <c r="F264" s="29"/>
      <c r="G264" s="342"/>
      <c r="H264" s="342"/>
      <c r="J264" s="262">
        <v>480</v>
      </c>
      <c r="L264" s="88"/>
      <c r="P264" s="248"/>
    </row>
    <row r="265" spans="1:16" ht="18.75" x14ac:dyDescent="0.3">
      <c r="A265" s="142" t="s">
        <v>308</v>
      </c>
      <c r="B265" s="244">
        <v>0</v>
      </c>
      <c r="C265" s="136"/>
      <c r="F265" s="29"/>
      <c r="G265" s="342"/>
      <c r="H265" s="342"/>
      <c r="J265" s="262">
        <v>1320</v>
      </c>
      <c r="L265" s="88"/>
      <c r="P265" s="248"/>
    </row>
    <row r="266" spans="1:16" ht="18.75" x14ac:dyDescent="0.3">
      <c r="A266" s="142" t="s">
        <v>194</v>
      </c>
      <c r="B266" s="244">
        <v>0</v>
      </c>
      <c r="C266" s="136"/>
      <c r="F266" s="29"/>
      <c r="G266" s="342"/>
      <c r="H266" s="342"/>
      <c r="J266" s="262">
        <v>864</v>
      </c>
      <c r="L266" s="88"/>
    </row>
    <row r="267" spans="1:16" ht="18.75" x14ac:dyDescent="0.3">
      <c r="A267" s="142" t="s">
        <v>312</v>
      </c>
      <c r="B267" s="261">
        <v>1760</v>
      </c>
      <c r="C267" s="136"/>
      <c r="F267" s="29"/>
      <c r="G267" s="342"/>
      <c r="H267" s="342"/>
      <c r="J267" s="263">
        <v>840</v>
      </c>
      <c r="L267" s="88"/>
    </row>
    <row r="268" spans="1:16" ht="18.75" x14ac:dyDescent="0.3">
      <c r="A268" s="142"/>
      <c r="B268" s="244"/>
      <c r="C268" s="136"/>
      <c r="F268" s="29"/>
      <c r="G268" s="342"/>
      <c r="H268" s="342"/>
      <c r="J268" s="262">
        <f>SUM(J253:J267)</f>
        <v>15694</v>
      </c>
      <c r="L268" s="88"/>
    </row>
    <row r="269" spans="1:16" ht="18.75" x14ac:dyDescent="0.3">
      <c r="A269" s="142"/>
      <c r="B269" s="244"/>
      <c r="C269" s="136"/>
      <c r="F269" s="29"/>
      <c r="G269" s="342"/>
      <c r="H269" s="342"/>
      <c r="L269" s="88"/>
    </row>
    <row r="270" spans="1:16" ht="18.75" x14ac:dyDescent="0.3">
      <c r="A270" s="144" t="s">
        <v>189</v>
      </c>
      <c r="B270" s="137"/>
      <c r="C270" s="136"/>
      <c r="F270" s="29"/>
      <c r="G270" s="342"/>
      <c r="H270" s="342"/>
      <c r="L270" s="88"/>
    </row>
    <row r="271" spans="1:16" ht="18.75" x14ac:dyDescent="0.3">
      <c r="A271" s="142" t="s">
        <v>302</v>
      </c>
      <c r="B271" s="261">
        <v>264</v>
      </c>
      <c r="C271" s="136"/>
      <c r="F271" s="29"/>
      <c r="G271" s="342"/>
      <c r="H271" s="342"/>
      <c r="L271" s="88"/>
    </row>
    <row r="272" spans="1:16" ht="18.75" x14ac:dyDescent="0.3">
      <c r="A272" s="142" t="s">
        <v>191</v>
      </c>
      <c r="B272" s="261">
        <v>1052</v>
      </c>
      <c r="C272" s="136"/>
      <c r="F272" s="29"/>
      <c r="G272" s="342"/>
      <c r="H272" s="342"/>
      <c r="J272" s="3" t="s">
        <v>316</v>
      </c>
      <c r="K272" s="3" t="s">
        <v>90</v>
      </c>
      <c r="L272" s="4" t="s">
        <v>307</v>
      </c>
    </row>
    <row r="273" spans="1:15" ht="18.75" x14ac:dyDescent="0.3">
      <c r="A273" s="142" t="s">
        <v>192</v>
      </c>
      <c r="B273" s="261">
        <v>1222</v>
      </c>
      <c r="C273" s="136"/>
      <c r="F273" s="29"/>
      <c r="G273" s="342"/>
      <c r="H273" s="342"/>
      <c r="J273" s="254">
        <v>199048</v>
      </c>
      <c r="K273" s="258">
        <v>31389</v>
      </c>
      <c r="L273" s="264">
        <v>581056</v>
      </c>
      <c r="N273" s="132">
        <f>SUM(J273:L273)</f>
        <v>811493</v>
      </c>
    </row>
    <row r="274" spans="1:15" ht="18.75" x14ac:dyDescent="0.3">
      <c r="A274" s="142" t="s">
        <v>193</v>
      </c>
      <c r="B274" s="261">
        <v>1679</v>
      </c>
      <c r="C274" s="3" t="s">
        <v>197</v>
      </c>
      <c r="F274" s="29"/>
      <c r="G274" s="342"/>
      <c r="H274" s="342"/>
      <c r="O274" s="132"/>
    </row>
    <row r="275" spans="1:15" ht="18.75" x14ac:dyDescent="0.3">
      <c r="A275" s="142"/>
      <c r="B275" s="252"/>
      <c r="C275" s="136"/>
      <c r="F275" s="29"/>
      <c r="G275" s="342"/>
      <c r="H275" s="342"/>
      <c r="L275" s="132">
        <f>B256+B258+B261+B267+B271+B272+B273+B274+B277+B279+B280</f>
        <v>40429</v>
      </c>
      <c r="M275" s="264"/>
      <c r="O275" s="132"/>
    </row>
    <row r="276" spans="1:15" ht="18.75" x14ac:dyDescent="0.3">
      <c r="A276" s="144" t="s">
        <v>11</v>
      </c>
      <c r="B276" s="252"/>
      <c r="C276" s="136"/>
      <c r="F276" s="29"/>
      <c r="G276" s="342"/>
      <c r="H276" s="342"/>
      <c r="L276" s="132">
        <v>274457</v>
      </c>
      <c r="M276" t="s">
        <v>345</v>
      </c>
      <c r="O276" s="132" t="s">
        <v>348</v>
      </c>
    </row>
    <row r="277" spans="1:15" ht="18.75" x14ac:dyDescent="0.3">
      <c r="A277" s="142" t="s">
        <v>313</v>
      </c>
      <c r="B277" s="261">
        <v>1460</v>
      </c>
      <c r="C277" s="136"/>
      <c r="F277" s="29"/>
      <c r="G277" s="342"/>
      <c r="H277" s="342"/>
      <c r="L277" s="132">
        <v>39228</v>
      </c>
      <c r="M277" t="s">
        <v>346</v>
      </c>
      <c r="O277" s="132" t="s">
        <v>348</v>
      </c>
    </row>
    <row r="278" spans="1:15" ht="19.5" thickBot="1" x14ac:dyDescent="0.35">
      <c r="A278" s="144" t="s">
        <v>198</v>
      </c>
      <c r="B278" s="137"/>
      <c r="C278" s="136"/>
      <c r="F278" s="29"/>
      <c r="G278" s="342"/>
      <c r="H278" s="342"/>
      <c r="L278" s="285">
        <v>226942</v>
      </c>
      <c r="M278" t="s">
        <v>347</v>
      </c>
      <c r="O278" t="s">
        <v>348</v>
      </c>
    </row>
    <row r="279" spans="1:15" ht="18.75" x14ac:dyDescent="0.3">
      <c r="A279" s="142" t="s">
        <v>71</v>
      </c>
      <c r="B279" s="261">
        <v>600</v>
      </c>
      <c r="C279" s="136"/>
      <c r="F279" s="29"/>
      <c r="G279" s="342"/>
      <c r="H279" s="342"/>
      <c r="L279" s="132">
        <f>SUM(L275:L278)</f>
        <v>581056</v>
      </c>
      <c r="M279" s="132"/>
    </row>
    <row r="280" spans="1:15" ht="19.5" thickBot="1" x14ac:dyDescent="0.35">
      <c r="A280" s="142" t="s">
        <v>68</v>
      </c>
      <c r="B280" s="268">
        <v>126</v>
      </c>
      <c r="C280" s="155"/>
      <c r="D280" s="118"/>
      <c r="F280" s="29"/>
      <c r="G280" s="342"/>
      <c r="H280" s="342"/>
    </row>
    <row r="281" spans="1:15" ht="18.75" x14ac:dyDescent="0.3">
      <c r="A281" s="147" t="s">
        <v>349</v>
      </c>
      <c r="B281" s="150">
        <f>SUM(B247:B280)</f>
        <v>267476</v>
      </c>
      <c r="C281" s="273"/>
      <c r="D281" s="148"/>
      <c r="F281" s="29"/>
      <c r="G281" s="342"/>
      <c r="H281" s="342"/>
      <c r="L281" s="132"/>
    </row>
    <row r="282" spans="1:15" ht="18.75" x14ac:dyDescent="0.3">
      <c r="D282" s="28"/>
      <c r="E282" s="29"/>
      <c r="F282" s="29"/>
      <c r="G282" s="342"/>
      <c r="H282" s="342"/>
    </row>
    <row r="283" spans="1:15" ht="18.75" x14ac:dyDescent="0.3">
      <c r="D283" s="28"/>
      <c r="E283" s="29"/>
      <c r="F283" s="29"/>
      <c r="G283" s="342"/>
      <c r="H283" s="342"/>
    </row>
    <row r="284" spans="1:15" ht="18.75" x14ac:dyDescent="0.3">
      <c r="D284" s="28"/>
      <c r="E284" s="29"/>
      <c r="F284" s="29"/>
      <c r="G284" s="342"/>
      <c r="H284" s="342"/>
    </row>
    <row r="285" spans="1:15" ht="18.75" x14ac:dyDescent="0.3">
      <c r="D285" s="28"/>
      <c r="E285" s="29"/>
      <c r="F285" s="29"/>
      <c r="G285" s="342"/>
      <c r="H285" s="342"/>
    </row>
    <row r="286" spans="1:15" ht="18.75" x14ac:dyDescent="0.3">
      <c r="D286" s="28"/>
      <c r="E286" s="29"/>
      <c r="F286" s="29"/>
      <c r="G286" s="342"/>
      <c r="H286" s="342"/>
    </row>
    <row r="287" spans="1:15" ht="18.75" x14ac:dyDescent="0.3">
      <c r="D287" s="28"/>
      <c r="E287" s="29"/>
      <c r="F287" s="29"/>
      <c r="G287" s="342"/>
      <c r="H287" s="342"/>
    </row>
    <row r="288" spans="1:15" ht="18.75" x14ac:dyDescent="0.3">
      <c r="D288" s="28"/>
      <c r="E288" s="29"/>
      <c r="F288" s="29"/>
      <c r="G288" s="342"/>
      <c r="H288" s="342"/>
    </row>
    <row r="289" spans="1:11" ht="18.75" x14ac:dyDescent="0.3">
      <c r="D289" s="28"/>
      <c r="E289" s="29"/>
      <c r="F289" s="29"/>
      <c r="G289" s="342"/>
      <c r="H289" s="342"/>
    </row>
    <row r="290" spans="1:11" ht="18.75" x14ac:dyDescent="0.3">
      <c r="D290" s="28"/>
      <c r="E290" s="29"/>
      <c r="F290" s="29"/>
      <c r="G290" s="342"/>
      <c r="H290" s="342"/>
    </row>
    <row r="291" spans="1:11" ht="18.75" x14ac:dyDescent="0.3">
      <c r="D291" s="28"/>
      <c r="E291" s="29"/>
      <c r="F291" s="29"/>
      <c r="G291" s="342"/>
      <c r="H291" s="342"/>
    </row>
    <row r="292" spans="1:11" ht="18.75" x14ac:dyDescent="0.3">
      <c r="D292" s="28"/>
      <c r="E292" s="29"/>
      <c r="F292" s="29"/>
      <c r="G292" s="342"/>
      <c r="H292" s="342"/>
    </row>
    <row r="293" spans="1:11" ht="18.75" x14ac:dyDescent="0.3">
      <c r="D293" s="28"/>
      <c r="E293" s="29"/>
      <c r="F293" s="29"/>
      <c r="G293" s="342"/>
      <c r="H293" s="342"/>
    </row>
    <row r="294" spans="1:11" ht="37.9" customHeight="1" thickBot="1" x14ac:dyDescent="0.4">
      <c r="A294" s="275" t="s">
        <v>338</v>
      </c>
      <c r="C294" s="274" t="s">
        <v>337</v>
      </c>
      <c r="D294" s="380">
        <v>0.95454545454545459</v>
      </c>
      <c r="E294" s="381"/>
      <c r="F294" s="284" t="s">
        <v>351</v>
      </c>
      <c r="G294" s="344"/>
      <c r="H294" s="344"/>
    </row>
    <row r="295" spans="1:11" ht="19.5" thickBot="1" x14ac:dyDescent="0.35">
      <c r="A295" s="280" t="s">
        <v>184</v>
      </c>
      <c r="B295" s="240"/>
      <c r="C295" s="58">
        <v>93739</v>
      </c>
      <c r="D295" s="66"/>
      <c r="E295" s="243">
        <v>134556</v>
      </c>
      <c r="F295" s="29"/>
      <c r="G295" s="342"/>
      <c r="H295" s="342"/>
    </row>
    <row r="296" spans="1:11" ht="18.75" x14ac:dyDescent="0.3">
      <c r="A296" s="142" t="s">
        <v>321</v>
      </c>
      <c r="B296" s="276">
        <v>90181</v>
      </c>
      <c r="C296" s="277"/>
      <c r="D296" s="66"/>
      <c r="E296" s="243"/>
      <c r="F296" s="29"/>
      <c r="G296" s="342"/>
      <c r="H296" s="342"/>
    </row>
    <row r="297" spans="1:11" ht="18.75" x14ac:dyDescent="0.3">
      <c r="A297" s="142"/>
      <c r="B297" s="276"/>
      <c r="C297" s="277"/>
      <c r="D297" s="66"/>
      <c r="E297" s="243"/>
      <c r="F297" s="29"/>
      <c r="G297" s="342"/>
      <c r="H297" s="342"/>
    </row>
    <row r="298" spans="1:11" ht="19.5" thickBot="1" x14ac:dyDescent="0.35">
      <c r="A298" s="279" t="s">
        <v>339</v>
      </c>
      <c r="C298" s="276">
        <v>646</v>
      </c>
      <c r="D298" s="66"/>
      <c r="E298" s="243">
        <v>500</v>
      </c>
      <c r="F298" s="29"/>
      <c r="G298" s="342"/>
      <c r="H298" s="342"/>
      <c r="K298" s="121"/>
    </row>
    <row r="299" spans="1:11" ht="19.5" thickBot="1" x14ac:dyDescent="0.35">
      <c r="A299" s="280" t="s">
        <v>340</v>
      </c>
      <c r="C299" s="276">
        <v>425</v>
      </c>
      <c r="D299" s="66"/>
      <c r="E299" s="243">
        <v>358</v>
      </c>
      <c r="F299" s="29"/>
      <c r="G299" s="342"/>
      <c r="H299" s="342"/>
      <c r="K299" s="121"/>
    </row>
    <row r="300" spans="1:11" ht="19.5" thickBot="1" x14ac:dyDescent="0.35">
      <c r="A300" s="280" t="s">
        <v>319</v>
      </c>
      <c r="C300" s="276">
        <v>2616</v>
      </c>
      <c r="D300" s="66"/>
      <c r="E300" s="243">
        <v>2000</v>
      </c>
      <c r="F300" s="29"/>
      <c r="G300" s="342"/>
      <c r="H300" s="342"/>
      <c r="K300" s="121"/>
    </row>
    <row r="301" spans="1:11" ht="19.5" thickBot="1" x14ac:dyDescent="0.35">
      <c r="A301" s="280" t="s">
        <v>333</v>
      </c>
      <c r="C301" s="276">
        <v>0</v>
      </c>
      <c r="D301" s="66"/>
      <c r="E301" s="243">
        <v>1000</v>
      </c>
      <c r="F301" s="29"/>
      <c r="G301" s="342"/>
      <c r="H301" s="342"/>
      <c r="K301" s="121"/>
    </row>
    <row r="302" spans="1:11" ht="19.5" thickBot="1" x14ac:dyDescent="0.35">
      <c r="A302" s="279" t="s">
        <v>334</v>
      </c>
      <c r="C302" s="276">
        <v>0</v>
      </c>
      <c r="D302" s="66"/>
      <c r="E302" s="243">
        <v>610000</v>
      </c>
      <c r="F302" s="29"/>
      <c r="G302" s="342"/>
      <c r="H302" s="342"/>
      <c r="K302" s="121"/>
    </row>
    <row r="303" spans="1:11" ht="19.5" thickBot="1" x14ac:dyDescent="0.35">
      <c r="A303" s="280" t="s">
        <v>335</v>
      </c>
      <c r="C303" s="276">
        <v>0</v>
      </c>
      <c r="D303" s="66"/>
      <c r="E303" s="243">
        <v>500</v>
      </c>
      <c r="F303" s="29"/>
      <c r="G303" s="342"/>
      <c r="H303" s="342"/>
      <c r="K303" s="121"/>
    </row>
    <row r="304" spans="1:11" ht="19.5" thickBot="1" x14ac:dyDescent="0.35">
      <c r="A304" s="280" t="s">
        <v>341</v>
      </c>
      <c r="C304" s="276">
        <v>0</v>
      </c>
      <c r="D304" s="66"/>
      <c r="E304" s="243">
        <v>20000</v>
      </c>
      <c r="F304" s="29"/>
      <c r="G304" s="342"/>
      <c r="H304" s="342"/>
      <c r="K304" s="121"/>
    </row>
    <row r="305" spans="1:11" ht="19.5" thickBot="1" x14ac:dyDescent="0.35">
      <c r="A305" s="279" t="s">
        <v>320</v>
      </c>
      <c r="C305" s="276">
        <v>599</v>
      </c>
      <c r="D305" s="66"/>
      <c r="E305" s="243">
        <v>3337</v>
      </c>
      <c r="F305" s="29"/>
      <c r="G305" s="342"/>
      <c r="H305" s="342"/>
      <c r="K305" s="121"/>
    </row>
    <row r="306" spans="1:11" ht="18.75" x14ac:dyDescent="0.3">
      <c r="A306" s="142"/>
      <c r="B306" s="276"/>
      <c r="C306" s="277"/>
      <c r="D306" s="66"/>
      <c r="E306" s="243"/>
      <c r="F306" s="29"/>
      <c r="G306" s="342"/>
      <c r="H306" s="342"/>
    </row>
    <row r="307" spans="1:11" ht="19.5" thickBot="1" x14ac:dyDescent="0.35">
      <c r="A307" s="279" t="s">
        <v>336</v>
      </c>
      <c r="B307" s="276"/>
      <c r="C307" s="58">
        <v>66316</v>
      </c>
      <c r="D307" s="66"/>
      <c r="E307" s="243">
        <v>388549</v>
      </c>
      <c r="F307" s="29"/>
      <c r="G307" s="342"/>
      <c r="H307" s="342"/>
    </row>
    <row r="308" spans="1:11" ht="18.75" x14ac:dyDescent="0.3">
      <c r="A308" s="142" t="s">
        <v>324</v>
      </c>
      <c r="B308" s="276">
        <v>3805</v>
      </c>
      <c r="C308" s="277"/>
      <c r="D308" s="66"/>
      <c r="E308" s="52"/>
      <c r="F308" s="29"/>
      <c r="G308" s="342"/>
      <c r="H308" s="342"/>
    </row>
    <row r="309" spans="1:11" ht="18.75" x14ac:dyDescent="0.3">
      <c r="A309" s="142" t="s">
        <v>322</v>
      </c>
      <c r="B309" s="276">
        <v>4097</v>
      </c>
      <c r="C309" s="277"/>
      <c r="D309" s="66"/>
      <c r="E309" s="52"/>
      <c r="F309" s="29"/>
      <c r="G309" s="342"/>
      <c r="H309" s="342"/>
    </row>
    <row r="310" spans="1:11" ht="18.75" x14ac:dyDescent="0.3">
      <c r="A310" s="142" t="s">
        <v>323</v>
      </c>
      <c r="B310" s="276">
        <v>1795</v>
      </c>
      <c r="C310" s="277"/>
      <c r="D310" s="66"/>
      <c r="E310" s="52"/>
      <c r="F310" s="29"/>
      <c r="G310" s="342"/>
      <c r="H310" s="342"/>
    </row>
    <row r="311" spans="1:11" ht="18.75" x14ac:dyDescent="0.3">
      <c r="A311" s="142" t="s">
        <v>325</v>
      </c>
      <c r="B311" s="276">
        <v>2689</v>
      </c>
      <c r="C311" s="277"/>
      <c r="D311" s="66"/>
      <c r="E311" s="52"/>
      <c r="F311" s="29"/>
      <c r="G311" s="342"/>
      <c r="H311" s="342"/>
    </row>
    <row r="312" spans="1:11" ht="18.75" x14ac:dyDescent="0.3">
      <c r="A312" s="142" t="s">
        <v>326</v>
      </c>
      <c r="B312" s="276">
        <v>13991</v>
      </c>
      <c r="C312" s="277"/>
      <c r="D312" s="66"/>
      <c r="E312" s="52"/>
      <c r="F312" s="29"/>
      <c r="G312" s="342"/>
      <c r="H312" s="342"/>
    </row>
    <row r="313" spans="1:11" ht="18.75" x14ac:dyDescent="0.3">
      <c r="A313" s="142" t="s">
        <v>327</v>
      </c>
      <c r="B313" s="276">
        <v>2000</v>
      </c>
      <c r="C313" s="277"/>
      <c r="D313" s="66"/>
      <c r="E313" s="52"/>
      <c r="F313" s="29"/>
      <c r="G313" s="342"/>
      <c r="H313" s="342"/>
    </row>
    <row r="314" spans="1:11" ht="18.75" x14ac:dyDescent="0.3">
      <c r="A314" s="142" t="s">
        <v>328</v>
      </c>
      <c r="B314" s="276">
        <v>5951</v>
      </c>
      <c r="C314" s="277"/>
      <c r="D314" s="66"/>
      <c r="E314" s="52"/>
      <c r="F314" s="29"/>
      <c r="G314" s="342"/>
      <c r="H314" s="342"/>
    </row>
    <row r="315" spans="1:11" ht="18.75" x14ac:dyDescent="0.3">
      <c r="A315" s="142" t="s">
        <v>329</v>
      </c>
      <c r="B315" s="276">
        <v>477</v>
      </c>
      <c r="C315" s="277"/>
      <c r="D315" s="66"/>
      <c r="E315" s="52"/>
      <c r="F315" s="29"/>
      <c r="G315" s="342"/>
      <c r="H315" s="342"/>
    </row>
    <row r="316" spans="1:11" ht="19.5" thickBot="1" x14ac:dyDescent="0.35">
      <c r="A316" s="142" t="s">
        <v>330</v>
      </c>
      <c r="B316" s="276">
        <v>18012</v>
      </c>
      <c r="C316" s="277"/>
      <c r="D316" s="66"/>
      <c r="E316" s="52"/>
      <c r="F316" s="29"/>
      <c r="G316" s="342"/>
      <c r="H316" s="342"/>
    </row>
    <row r="317" spans="1:11" ht="18.75" x14ac:dyDescent="0.3">
      <c r="A317" s="282" t="s">
        <v>344</v>
      </c>
      <c r="B317" s="276"/>
      <c r="C317" s="277"/>
      <c r="D317" s="286"/>
      <c r="E317" s="52"/>
      <c r="F317" s="29"/>
      <c r="G317" s="342"/>
      <c r="H317" s="342"/>
    </row>
    <row r="318" spans="1:11" ht="19.5" thickBot="1" x14ac:dyDescent="0.35">
      <c r="A318" s="283">
        <f>SUM(B296:B316)</f>
        <v>142998</v>
      </c>
      <c r="B318" s="276"/>
      <c r="C318" s="277"/>
      <c r="D318" s="66"/>
      <c r="E318" s="238"/>
      <c r="F318" s="29"/>
      <c r="G318" s="342"/>
      <c r="H318" s="342"/>
    </row>
    <row r="319" spans="1:11" ht="18.75" x14ac:dyDescent="0.3">
      <c r="A319" s="237"/>
      <c r="B319" s="276"/>
      <c r="C319" s="277"/>
      <c r="D319" s="66"/>
      <c r="E319" s="52"/>
      <c r="F319" s="29"/>
      <c r="G319" s="342"/>
      <c r="H319" s="342"/>
    </row>
    <row r="320" spans="1:11" ht="18.75" x14ac:dyDescent="0.3">
      <c r="A320" s="251" t="s">
        <v>194</v>
      </c>
      <c r="B320" s="276">
        <f>417+1012+351+306+51+685</f>
        <v>2822</v>
      </c>
      <c r="C320" s="277"/>
      <c r="D320" s="66"/>
      <c r="E320" s="52"/>
      <c r="F320" s="29"/>
      <c r="G320" s="342"/>
      <c r="H320" s="342"/>
    </row>
    <row r="321" spans="1:11" ht="18.75" x14ac:dyDescent="0.3">
      <c r="A321" s="237"/>
      <c r="B321" s="276"/>
      <c r="C321" s="277"/>
      <c r="D321" s="66"/>
      <c r="E321" s="52"/>
      <c r="F321" s="29"/>
      <c r="G321" s="342"/>
      <c r="H321" s="342"/>
    </row>
    <row r="322" spans="1:11" ht="18.75" x14ac:dyDescent="0.3">
      <c r="A322" s="237" t="s">
        <v>309</v>
      </c>
      <c r="B322" s="276">
        <f>2400+417</f>
        <v>2817</v>
      </c>
      <c r="C322" s="277"/>
      <c r="D322" s="66"/>
      <c r="E322" s="52"/>
      <c r="F322" s="29"/>
      <c r="G322" s="342"/>
      <c r="H322" s="342"/>
    </row>
    <row r="323" spans="1:11" ht="18.75" x14ac:dyDescent="0.3">
      <c r="A323" s="237" t="s">
        <v>331</v>
      </c>
      <c r="B323" s="276">
        <v>160</v>
      </c>
      <c r="C323" s="277"/>
      <c r="D323" s="66"/>
      <c r="E323" s="52"/>
      <c r="F323" s="29"/>
      <c r="G323" s="342"/>
      <c r="H323" s="342"/>
    </row>
    <row r="324" spans="1:11" ht="18.75" x14ac:dyDescent="0.3">
      <c r="A324" s="237" t="s">
        <v>332</v>
      </c>
      <c r="B324" s="276">
        <v>11730</v>
      </c>
      <c r="C324" s="277"/>
      <c r="D324" s="66"/>
      <c r="E324" s="52"/>
      <c r="F324" s="29"/>
      <c r="G324" s="342"/>
      <c r="H324" s="342"/>
      <c r="K324" s="121"/>
    </row>
    <row r="325" spans="1:11" ht="18.75" x14ac:dyDescent="0.3">
      <c r="A325" s="278"/>
      <c r="B325" s="276"/>
      <c r="C325" s="277"/>
      <c r="D325" s="66"/>
      <c r="E325" s="52"/>
      <c r="F325" s="29"/>
      <c r="G325" s="342"/>
      <c r="H325" s="342"/>
      <c r="K325" s="121"/>
    </row>
    <row r="326" spans="1:11" ht="19.5" thickBot="1" x14ac:dyDescent="0.35">
      <c r="A326" s="279" t="s">
        <v>342</v>
      </c>
      <c r="B326" s="276"/>
      <c r="C326" s="58">
        <v>336</v>
      </c>
      <c r="D326" s="66"/>
      <c r="E326" s="243">
        <v>500</v>
      </c>
      <c r="F326" s="29"/>
      <c r="G326" s="342"/>
      <c r="H326" s="342"/>
      <c r="K326" s="121"/>
    </row>
    <row r="327" spans="1:11" ht="16.5" thickBot="1" x14ac:dyDescent="0.3">
      <c r="A327" s="279" t="s">
        <v>343</v>
      </c>
      <c r="C327" s="109">
        <v>0</v>
      </c>
      <c r="E327" s="204">
        <v>1000</v>
      </c>
    </row>
    <row r="328" spans="1:11" ht="15.75" x14ac:dyDescent="0.25">
      <c r="A328" s="281" t="s">
        <v>361</v>
      </c>
      <c r="C328" s="109"/>
      <c r="E328" s="204">
        <v>6000</v>
      </c>
    </row>
    <row r="329" spans="1:11" ht="56.25" x14ac:dyDescent="0.3">
      <c r="A329" s="287" t="s">
        <v>350</v>
      </c>
      <c r="C329" s="150">
        <f>SUM(C295:C328)</f>
        <v>164677</v>
      </c>
      <c r="D329" s="110"/>
      <c r="E329" s="273">
        <f>SUM(E295:E328)</f>
        <v>1168300</v>
      </c>
      <c r="F329" s="150">
        <v>1000000</v>
      </c>
      <c r="G329" s="345"/>
      <c r="H329" s="345"/>
    </row>
    <row r="330" spans="1:11" ht="37.9" customHeight="1" x14ac:dyDescent="0.25"/>
    <row r="332" spans="1:11" ht="18.75" x14ac:dyDescent="0.3">
      <c r="A332" s="182" t="s">
        <v>352</v>
      </c>
      <c r="B332" s="182"/>
      <c r="C332" s="150">
        <f>B281+C329+E329+F329</f>
        <v>2600453</v>
      </c>
    </row>
    <row r="333" spans="1:11" ht="18.75" x14ac:dyDescent="0.3">
      <c r="D333" s="28"/>
      <c r="E333" s="29"/>
      <c r="F333" s="29"/>
      <c r="G333" s="342"/>
      <c r="H333" s="342"/>
    </row>
    <row r="334" spans="1:11" ht="24" thickBot="1" x14ac:dyDescent="0.4">
      <c r="A334" s="370" t="s">
        <v>87</v>
      </c>
      <c r="B334" s="370"/>
      <c r="C334" s="370"/>
      <c r="D334" s="370"/>
      <c r="E334" s="151">
        <f>E241+C332</f>
        <v>36805125.383500002</v>
      </c>
      <c r="F334" s="149"/>
      <c r="G334" s="329"/>
      <c r="H334" s="329"/>
      <c r="J334" s="3" t="s">
        <v>311</v>
      </c>
    </row>
    <row r="335" spans="1:11" ht="19.5" thickTop="1" x14ac:dyDescent="0.3">
      <c r="D335" s="205">
        <f>D239/E334</f>
        <v>0.4538624138878421</v>
      </c>
      <c r="E335" s="205">
        <f>(E239+B281)/E334</f>
        <v>0.48275030035532446</v>
      </c>
      <c r="F335" s="107"/>
      <c r="G335" s="346"/>
      <c r="H335" s="346"/>
    </row>
    <row r="336" spans="1:11" ht="37.5" x14ac:dyDescent="0.3">
      <c r="D336" s="206" t="s">
        <v>255</v>
      </c>
      <c r="E336" s="206" t="s">
        <v>256</v>
      </c>
    </row>
    <row r="337" spans="1:5" ht="15.75" x14ac:dyDescent="0.25">
      <c r="D337" s="66"/>
      <c r="E337" s="66"/>
    </row>
    <row r="338" spans="1:5" ht="18.75" x14ac:dyDescent="0.3">
      <c r="A338" s="90" t="s">
        <v>110</v>
      </c>
      <c r="B338" s="3"/>
      <c r="C338" s="3"/>
      <c r="D338" s="3"/>
      <c r="E338"/>
    </row>
    <row r="339" spans="1:5" hidden="1" x14ac:dyDescent="0.25">
      <c r="B339" s="3"/>
      <c r="C339" s="3" t="s">
        <v>104</v>
      </c>
      <c r="D339" s="3" t="s">
        <v>105</v>
      </c>
      <c r="E339"/>
    </row>
    <row r="340" spans="1:5" hidden="1" x14ac:dyDescent="0.25">
      <c r="B340" s="3"/>
      <c r="C340" s="89">
        <v>0.75</v>
      </c>
      <c r="D340" s="89">
        <v>0.25</v>
      </c>
      <c r="E340"/>
    </row>
    <row r="341" spans="1:5" hidden="1" x14ac:dyDescent="0.25">
      <c r="A341" s="88" t="s">
        <v>96</v>
      </c>
      <c r="B341" s="3" t="s">
        <v>92</v>
      </c>
      <c r="C341" s="3" t="s">
        <v>107</v>
      </c>
      <c r="D341" s="3" t="s">
        <v>106</v>
      </c>
      <c r="E341"/>
    </row>
    <row r="342" spans="1:5" hidden="1" x14ac:dyDescent="0.25">
      <c r="A342" t="s">
        <v>89</v>
      </c>
      <c r="B342" s="3">
        <v>1606571</v>
      </c>
      <c r="C342" s="3">
        <v>1204929</v>
      </c>
      <c r="D342" s="3">
        <v>401643</v>
      </c>
      <c r="E342"/>
    </row>
    <row r="343" spans="1:5" hidden="1" x14ac:dyDescent="0.25">
      <c r="A343" t="s">
        <v>90</v>
      </c>
      <c r="B343" s="3">
        <v>8555373</v>
      </c>
      <c r="C343" s="3">
        <v>6416529</v>
      </c>
      <c r="D343" s="3">
        <v>2138843</v>
      </c>
      <c r="E343"/>
    </row>
    <row r="344" spans="1:5" hidden="1" x14ac:dyDescent="0.25">
      <c r="A344" t="s">
        <v>91</v>
      </c>
      <c r="B344" s="3">
        <f>18809146-B343-B342</f>
        <v>8647202</v>
      </c>
      <c r="C344" s="3">
        <f>14106859-C343-C342</f>
        <v>6485401</v>
      </c>
      <c r="D344" s="3">
        <f>4702286-D342-D343</f>
        <v>2161800</v>
      </c>
      <c r="E344"/>
    </row>
    <row r="345" spans="1:5" hidden="1" x14ac:dyDescent="0.25">
      <c r="A345" t="s">
        <v>93</v>
      </c>
      <c r="B345" s="3"/>
      <c r="C345" s="3"/>
      <c r="D345" s="3"/>
      <c r="E345"/>
    </row>
    <row r="346" spans="1:5" hidden="1" x14ac:dyDescent="0.25">
      <c r="A346" t="s">
        <v>94</v>
      </c>
      <c r="B346" s="3"/>
      <c r="C346" s="3"/>
      <c r="D346" s="3"/>
      <c r="E346"/>
    </row>
    <row r="347" spans="1:5" hidden="1" x14ac:dyDescent="0.25">
      <c r="A347" t="s">
        <v>95</v>
      </c>
      <c r="B347" s="3"/>
      <c r="C347" s="3"/>
      <c r="D347" s="3"/>
      <c r="E347"/>
    </row>
    <row r="348" spans="1:5" hidden="1" x14ac:dyDescent="0.25">
      <c r="B348" s="3">
        <f>SUM(B342:B347)</f>
        <v>18809146</v>
      </c>
      <c r="C348" s="3"/>
      <c r="D348" s="3"/>
      <c r="E348"/>
    </row>
    <row r="349" spans="1:5" hidden="1" x14ac:dyDescent="0.25">
      <c r="A349" s="88" t="s">
        <v>98</v>
      </c>
      <c r="B349" s="3"/>
      <c r="C349" s="3"/>
      <c r="D349" s="3"/>
      <c r="E349"/>
    </row>
    <row r="350" spans="1:5" hidden="1" x14ac:dyDescent="0.25">
      <c r="A350" t="s">
        <v>99</v>
      </c>
      <c r="B350" s="3">
        <v>52500</v>
      </c>
      <c r="C350" s="3"/>
      <c r="D350" s="3"/>
      <c r="E350"/>
    </row>
    <row r="351" spans="1:5" hidden="1" x14ac:dyDescent="0.25">
      <c r="A351" t="s">
        <v>100</v>
      </c>
      <c r="B351" s="3">
        <v>150000</v>
      </c>
      <c r="C351" s="3"/>
      <c r="D351" s="3"/>
      <c r="E351"/>
    </row>
    <row r="352" spans="1:5" hidden="1" x14ac:dyDescent="0.25">
      <c r="A352" t="s">
        <v>101</v>
      </c>
      <c r="B352" s="3">
        <v>150000</v>
      </c>
      <c r="C352" s="3"/>
      <c r="D352" s="3"/>
      <c r="E352"/>
    </row>
    <row r="353" spans="1:10" hidden="1" x14ac:dyDescent="0.25">
      <c r="A353" t="s">
        <v>102</v>
      </c>
      <c r="B353" s="3">
        <v>112500</v>
      </c>
      <c r="C353" s="3"/>
      <c r="D353" s="3"/>
      <c r="E353"/>
    </row>
    <row r="354" spans="1:10" hidden="1" x14ac:dyDescent="0.25">
      <c r="A354" t="s">
        <v>103</v>
      </c>
      <c r="B354" s="3">
        <v>75000</v>
      </c>
      <c r="C354" s="3"/>
      <c r="D354" s="3"/>
      <c r="E354"/>
    </row>
    <row r="355" spans="1:10" hidden="1" x14ac:dyDescent="0.25">
      <c r="B355" s="3">
        <f>SUM(B350:B354)</f>
        <v>540000</v>
      </c>
      <c r="C355" s="3"/>
      <c r="D355" s="3"/>
      <c r="E355"/>
    </row>
    <row r="356" spans="1:10" hidden="1" x14ac:dyDescent="0.25">
      <c r="B356" s="3"/>
      <c r="C356" s="3"/>
      <c r="D356" s="3"/>
      <c r="E356"/>
    </row>
    <row r="357" spans="1:10" hidden="1" x14ac:dyDescent="0.25">
      <c r="B357" s="3"/>
      <c r="C357" s="3"/>
      <c r="D357" s="3"/>
      <c r="E357"/>
    </row>
    <row r="358" spans="1:10" hidden="1" x14ac:dyDescent="0.25">
      <c r="A358" t="s">
        <v>97</v>
      </c>
      <c r="B358" s="3">
        <v>500000</v>
      </c>
      <c r="C358" s="3"/>
      <c r="D358" s="3"/>
      <c r="E358"/>
      <c r="I358" s="3">
        <f>SUM(B370:G370)</f>
        <v>42824000</v>
      </c>
    </row>
    <row r="359" spans="1:10" hidden="1" x14ac:dyDescent="0.25">
      <c r="B359" s="3"/>
      <c r="C359" s="3"/>
      <c r="D359" s="3"/>
      <c r="E359"/>
      <c r="I359" s="3">
        <f>SUM(B371:G371)</f>
        <v>723015</v>
      </c>
    </row>
    <row r="360" spans="1:10" hidden="1" x14ac:dyDescent="0.25">
      <c r="A360" s="88" t="s">
        <v>109</v>
      </c>
      <c r="B360" s="3"/>
      <c r="C360" s="3"/>
      <c r="D360" s="3"/>
      <c r="E360"/>
      <c r="I360" s="79" t="e">
        <f>SUM(#REF!)</f>
        <v>#REF!</v>
      </c>
    </row>
    <row r="361" spans="1:10" hidden="1" x14ac:dyDescent="0.25">
      <c r="A361" t="s">
        <v>99</v>
      </c>
      <c r="B361" s="3">
        <v>6052500</v>
      </c>
      <c r="C361" s="3"/>
      <c r="D361" s="3"/>
      <c r="E361"/>
      <c r="I361" s="79">
        <f>SUM(B375:H375)</f>
        <v>226528</v>
      </c>
    </row>
    <row r="362" spans="1:10" ht="18.75" hidden="1" x14ac:dyDescent="0.3">
      <c r="A362" t="s">
        <v>100</v>
      </c>
      <c r="B362" s="3">
        <v>6525000</v>
      </c>
      <c r="C362" s="3"/>
      <c r="D362" s="3"/>
      <c r="E362"/>
      <c r="I362" s="119"/>
    </row>
    <row r="363" spans="1:10" ht="18.75" hidden="1" x14ac:dyDescent="0.3">
      <c r="A363" t="s">
        <v>101</v>
      </c>
      <c r="B363" s="3">
        <v>5900000</v>
      </c>
      <c r="C363" s="3"/>
      <c r="D363" s="3"/>
      <c r="E363"/>
      <c r="I363" s="29" t="s">
        <v>108</v>
      </c>
    </row>
    <row r="364" spans="1:10" ht="18.75" hidden="1" x14ac:dyDescent="0.3">
      <c r="A364" t="s">
        <v>102</v>
      </c>
      <c r="B364" s="3">
        <v>5550000</v>
      </c>
      <c r="C364" s="3"/>
      <c r="D364" s="3"/>
      <c r="E364"/>
      <c r="I364" s="29" t="e">
        <f>SUM(I358:I363)</f>
        <v>#REF!</v>
      </c>
    </row>
    <row r="365" spans="1:10" hidden="1" x14ac:dyDescent="0.25">
      <c r="A365" t="s">
        <v>103</v>
      </c>
      <c r="B365" s="3">
        <v>7000000</v>
      </c>
      <c r="C365" s="3"/>
      <c r="D365" s="3"/>
      <c r="E365"/>
      <c r="J365" s="50"/>
    </row>
    <row r="366" spans="1:10" hidden="1" x14ac:dyDescent="0.25">
      <c r="B366" s="3">
        <f>SUM(B361:B365)</f>
        <v>31027500</v>
      </c>
      <c r="C366" s="3"/>
      <c r="D366" s="3"/>
      <c r="E366"/>
    </row>
    <row r="367" spans="1:10" hidden="1" x14ac:dyDescent="0.25">
      <c r="B367" s="3"/>
      <c r="C367" s="3"/>
      <c r="D367" s="3"/>
      <c r="E367"/>
    </row>
    <row r="368" spans="1:10" hidden="1" x14ac:dyDescent="0.25">
      <c r="B368" s="3"/>
      <c r="C368" s="3"/>
      <c r="D368" s="3"/>
    </row>
    <row r="369" spans="1:9" ht="84" customHeight="1" x14ac:dyDescent="0.25">
      <c r="A369" s="237"/>
      <c r="B369" s="321" t="s">
        <v>377</v>
      </c>
      <c r="C369" s="321" t="s">
        <v>378</v>
      </c>
      <c r="D369" s="321" t="s">
        <v>379</v>
      </c>
      <c r="E369" s="321" t="s">
        <v>380</v>
      </c>
      <c r="F369" s="321" t="s">
        <v>381</v>
      </c>
      <c r="G369" s="321" t="s">
        <v>382</v>
      </c>
      <c r="H369" s="238" t="s">
        <v>259</v>
      </c>
      <c r="I369" s="238"/>
    </row>
    <row r="370" spans="1:9" ht="15.75" x14ac:dyDescent="0.25">
      <c r="A370" s="190" t="s">
        <v>96</v>
      </c>
      <c r="B370" s="238">
        <f>B342</f>
        <v>1606571</v>
      </c>
      <c r="C370" s="238">
        <f>B343</f>
        <v>8555373</v>
      </c>
      <c r="D370" s="238">
        <f>B344</f>
        <v>8647202</v>
      </c>
      <c r="E370" s="240">
        <v>10014854</v>
      </c>
      <c r="F370" s="238">
        <v>8000000</v>
      </c>
      <c r="G370" s="238">
        <f>0.75*8000000</f>
        <v>6000000</v>
      </c>
      <c r="H370" s="238">
        <f>SUM(B370:G370)</f>
        <v>42824000</v>
      </c>
      <c r="I370" s="243" t="s">
        <v>296</v>
      </c>
    </row>
    <row r="371" spans="1:9" ht="16.5" thickBot="1" x14ac:dyDescent="0.3">
      <c r="A371" s="190" t="s">
        <v>98</v>
      </c>
      <c r="B371" s="241">
        <v>17070</v>
      </c>
      <c r="C371" s="241">
        <v>52500</v>
      </c>
      <c r="D371" s="241">
        <v>183165</v>
      </c>
      <c r="E371" s="241">
        <v>207780</v>
      </c>
      <c r="F371" s="241">
        <v>150000</v>
      </c>
      <c r="G371" s="241">
        <f>150000*0.75</f>
        <v>112500</v>
      </c>
      <c r="H371" s="238">
        <f>SUM(B371:G371)</f>
        <v>723015</v>
      </c>
      <c r="I371" s="243" t="s">
        <v>297</v>
      </c>
    </row>
    <row r="372" spans="1:9" ht="15.75" x14ac:dyDescent="0.25">
      <c r="A372" s="239"/>
      <c r="B372" s="242">
        <f>SUM(B370:B371)</f>
        <v>1623641</v>
      </c>
      <c r="C372" s="242">
        <f t="shared" ref="C372:F372" si="5">SUM(C370:C371)</f>
        <v>8607873</v>
      </c>
      <c r="D372" s="242">
        <f t="shared" si="5"/>
        <v>8830367</v>
      </c>
      <c r="E372" s="242">
        <f t="shared" si="5"/>
        <v>10222634</v>
      </c>
      <c r="F372" s="242">
        <f t="shared" si="5"/>
        <v>8150000</v>
      </c>
      <c r="G372" s="242">
        <f>SUM(G370:G371)</f>
        <v>6112500</v>
      </c>
      <c r="H372" s="238">
        <f>SUM(B372:G372)</f>
        <v>43547015</v>
      </c>
      <c r="I372" s="238"/>
    </row>
    <row r="373" spans="1:9" ht="19.5" thickBot="1" x14ac:dyDescent="0.35">
      <c r="B373" s="29"/>
      <c r="C373" s="29"/>
      <c r="D373" s="120"/>
      <c r="E373" s="27"/>
      <c r="F373" s="29"/>
      <c r="G373" s="342"/>
      <c r="H373" s="342"/>
    </row>
    <row r="374" spans="1:9" ht="19.5" hidden="1" thickBot="1" x14ac:dyDescent="0.35">
      <c r="C374" s="29"/>
      <c r="D374" s="120"/>
      <c r="E374" s="27"/>
      <c r="F374" s="29"/>
      <c r="G374" s="342"/>
      <c r="H374" s="342"/>
    </row>
    <row r="375" spans="1:9" ht="15.75" hidden="1" thickBot="1" x14ac:dyDescent="0.3">
      <c r="A375" s="88" t="s">
        <v>233</v>
      </c>
      <c r="B375" s="91"/>
      <c r="C375" s="118"/>
      <c r="D375" s="47">
        <v>48448</v>
      </c>
      <c r="E375" s="47">
        <v>73920</v>
      </c>
      <c r="F375" s="47">
        <v>104160</v>
      </c>
      <c r="G375" s="347"/>
      <c r="H375" s="347"/>
    </row>
    <row r="376" spans="1:9" ht="19.5" hidden="1" thickBot="1" x14ac:dyDescent="0.35">
      <c r="B376" s="29"/>
      <c r="C376" s="29"/>
      <c r="D376" s="120"/>
      <c r="E376" s="27"/>
      <c r="F376" s="29"/>
      <c r="G376" s="342"/>
      <c r="H376" s="342"/>
    </row>
    <row r="377" spans="1:9" ht="18.75" x14ac:dyDescent="0.3">
      <c r="A377" s="288" t="s">
        <v>143</v>
      </c>
      <c r="B377" s="289">
        <f>-E334</f>
        <v>-36805125.383500002</v>
      </c>
    </row>
    <row r="378" spans="1:9" ht="19.5" thickBot="1" x14ac:dyDescent="0.35">
      <c r="A378" s="291" t="s">
        <v>144</v>
      </c>
      <c r="B378" s="290">
        <f>H372</f>
        <v>43547015</v>
      </c>
    </row>
    <row r="379" spans="1:9" ht="21.75" thickBot="1" x14ac:dyDescent="0.4">
      <c r="A379" s="292" t="s">
        <v>353</v>
      </c>
      <c r="B379" s="293">
        <f>B377+B378</f>
        <v>6741889.6164999977</v>
      </c>
    </row>
    <row r="381" spans="1:9" ht="34.9" customHeight="1" x14ac:dyDescent="0.25">
      <c r="A381" s="363"/>
      <c r="B381" s="363"/>
      <c r="C381" s="363"/>
      <c r="D381" s="363"/>
      <c r="E381" s="363"/>
      <c r="F381" s="363"/>
      <c r="G381" s="348"/>
      <c r="H381" s="348"/>
    </row>
    <row r="382" spans="1:9" ht="29.25" customHeight="1" x14ac:dyDescent="0.25">
      <c r="A382" s="363"/>
      <c r="B382" s="363"/>
      <c r="C382" s="363"/>
      <c r="D382" s="363"/>
      <c r="E382" s="363"/>
      <c r="F382" s="363"/>
      <c r="G382" s="348"/>
      <c r="H382" s="348"/>
    </row>
    <row r="383" spans="1:9" ht="6" customHeight="1" x14ac:dyDescent="0.25">
      <c r="A383" s="363"/>
      <c r="B383" s="363"/>
      <c r="C383" s="363"/>
      <c r="D383" s="363"/>
      <c r="E383" s="363"/>
      <c r="F383" s="363"/>
      <c r="G383" s="348"/>
      <c r="H383" s="348"/>
    </row>
    <row r="384" spans="1:9" ht="15" customHeight="1" x14ac:dyDescent="0.25">
      <c r="A384" s="156"/>
      <c r="B384" s="156"/>
      <c r="C384" s="156"/>
      <c r="D384" s="156"/>
      <c r="E384" s="156"/>
      <c r="F384" s="156"/>
      <c r="G384" s="349"/>
      <c r="H384" s="349"/>
    </row>
    <row r="385" spans="1:8" ht="14.45" customHeight="1" x14ac:dyDescent="0.25">
      <c r="A385" s="156"/>
      <c r="B385" s="156"/>
      <c r="C385" s="156"/>
      <c r="D385" s="156"/>
      <c r="E385" s="156"/>
      <c r="F385" s="156"/>
      <c r="G385" s="349"/>
      <c r="H385" s="349"/>
    </row>
    <row r="386" spans="1:8" ht="15" customHeight="1" x14ac:dyDescent="0.25">
      <c r="A386" s="128"/>
      <c r="B386" s="128"/>
      <c r="C386" s="128"/>
      <c r="D386" s="128"/>
      <c r="E386" s="128"/>
      <c r="F386" s="128"/>
      <c r="G386" s="350"/>
      <c r="H386" s="350"/>
    </row>
    <row r="387" spans="1:8" ht="15" customHeight="1" x14ac:dyDescent="0.25">
      <c r="A387" s="128"/>
      <c r="B387" s="128"/>
      <c r="C387" s="128"/>
      <c r="D387" s="128"/>
      <c r="E387" s="128"/>
      <c r="F387" s="128"/>
      <c r="G387" s="350"/>
      <c r="H387" s="350"/>
    </row>
  </sheetData>
  <mergeCells count="19">
    <mergeCell ref="C115:F115"/>
    <mergeCell ref="D3:E3"/>
    <mergeCell ref="B58:C58"/>
    <mergeCell ref="D58:E58"/>
    <mergeCell ref="D77:E77"/>
    <mergeCell ref="D112:E112"/>
    <mergeCell ref="I240:L244"/>
    <mergeCell ref="A334:D334"/>
    <mergeCell ref="A381:F383"/>
    <mergeCell ref="D137:E137"/>
    <mergeCell ref="D154:E154"/>
    <mergeCell ref="D186:E186"/>
    <mergeCell ref="D191:E191"/>
    <mergeCell ref="D200:E200"/>
    <mergeCell ref="D212:E212"/>
    <mergeCell ref="D227:E227"/>
    <mergeCell ref="D294:E294"/>
    <mergeCell ref="D206:E206"/>
    <mergeCell ref="I207:K208"/>
  </mergeCells>
  <pageMargins left="0.7" right="0.7" top="0.75" bottom="0.75" header="0.3" footer="0.3"/>
  <pageSetup scale="3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the big picture</vt:lpstr>
      <vt:lpstr>Sheet1</vt:lpstr>
      <vt:lpstr>the big picture revised</vt:lpstr>
      <vt:lpstr>12-12-21</vt:lpstr>
      <vt:lpstr>'the big picture'!Print_Titles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Sherrie</dc:creator>
  <cp:lastModifiedBy>Sherrie</cp:lastModifiedBy>
  <cp:lastPrinted>2021-12-13T03:44:32Z</cp:lastPrinted>
  <dcterms:created xsi:type="dcterms:W3CDTF">2020-09-30T05:49:29Z</dcterms:created>
  <dcterms:modified xsi:type="dcterms:W3CDTF">2021-12-13T05:12:00Z</dcterms:modified>
</cp:coreProperties>
</file>